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s177040" algorithmName="SHA-512" hashValue="4eJrbp4axTsvc3U19lkqt9fTSoLHeWUOCVO/BfGgPKgAW+iQeq2z4bmsiI7hNhkevTpUcQWqY6aEKy722sasWw==" saltValue="eZAh2YmfreI921Qef4fXRw==" spinCount="10000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ERC\FORMULA RATES\AEP West Transmission Formula Rates\AEP West 2019 Annual Update\Filing 5-25-19 Transcos\"/>
    </mc:Choice>
  </mc:AlternateContent>
  <bookViews>
    <workbookView xWindow="0" yWindow="0" windowWidth="24000" windowHeight="9000"/>
  </bookViews>
  <sheets>
    <sheet name="OKTCO Base Plan Refund" sheetId="1" r:id="rId1"/>
    <sheet name="2017 Refund" sheetId="2" r:id="rId2"/>
    <sheet name="2017 Interest Calculation" sheetId="3" r:id="rId3"/>
    <sheet name="Sheet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3" i="1"/>
  <c r="F10" i="3"/>
  <c r="P73" i="3" s="1"/>
  <c r="B69" i="3"/>
  <c r="B68" i="3"/>
  <c r="B67" i="3"/>
  <c r="B66" i="3"/>
  <c r="B65" i="3"/>
  <c r="B64" i="3"/>
  <c r="B63" i="3"/>
  <c r="B62" i="3"/>
  <c r="B61" i="3"/>
  <c r="B60" i="3"/>
  <c r="B59" i="3"/>
  <c r="B58" i="3"/>
  <c r="B26" i="3"/>
  <c r="B25" i="3"/>
  <c r="B24" i="3"/>
  <c r="B23" i="3"/>
  <c r="B22" i="3"/>
  <c r="B21" i="3"/>
  <c r="H20" i="3"/>
  <c r="F20" i="3"/>
  <c r="B20" i="3"/>
  <c r="J9" i="3"/>
  <c r="B39" i="3" s="1"/>
  <c r="B29" i="3" l="1"/>
  <c r="J20" i="3"/>
  <c r="N20" i="3" s="1"/>
  <c r="H22" i="3" s="1"/>
  <c r="B33" i="3"/>
  <c r="B37" i="3"/>
  <c r="D20" i="3"/>
  <c r="J10" i="3"/>
  <c r="B30" i="3"/>
  <c r="B34" i="3"/>
  <c r="B38" i="3"/>
  <c r="D21" i="3"/>
  <c r="D22" i="3"/>
  <c r="D23" i="3"/>
  <c r="D24" i="3"/>
  <c r="D25" i="3"/>
  <c r="D26" i="3"/>
  <c r="B32" i="3"/>
  <c r="B36" i="3"/>
  <c r="B40" i="3"/>
  <c r="B31" i="3"/>
  <c r="B35" i="3"/>
  <c r="H21" i="3" l="1"/>
  <c r="H23" i="3"/>
  <c r="F21" i="3"/>
  <c r="J21" i="3" s="1"/>
  <c r="N21" i="3" s="1"/>
  <c r="R21" i="3" s="1"/>
  <c r="R20" i="3"/>
  <c r="B53" i="3"/>
  <c r="B49" i="3"/>
  <c r="B45" i="3"/>
  <c r="B54" i="3"/>
  <c r="B50" i="3"/>
  <c r="B46" i="3"/>
  <c r="B51" i="3"/>
  <c r="B47" i="3"/>
  <c r="B43" i="3"/>
  <c r="B52" i="3"/>
  <c r="B48" i="3"/>
  <c r="B44" i="3"/>
  <c r="F22" i="3" l="1"/>
  <c r="J22" i="3" s="1"/>
  <c r="N22" i="3" s="1"/>
  <c r="R22" i="3"/>
  <c r="F23" i="3" l="1"/>
  <c r="F24" i="3" s="1"/>
  <c r="J23" i="3"/>
  <c r="N23" i="3" s="1"/>
  <c r="F25" i="3" l="1"/>
  <c r="R23" i="3"/>
  <c r="H26" i="3"/>
  <c r="H25" i="3"/>
  <c r="H24" i="3"/>
  <c r="J24" i="3" s="1"/>
  <c r="N24" i="3" s="1"/>
  <c r="R24" i="3" l="1"/>
  <c r="J25" i="3"/>
  <c r="N25" i="3" s="1"/>
  <c r="F26" i="3"/>
  <c r="J26" i="3" l="1"/>
  <c r="N26" i="3" s="1"/>
  <c r="H44" i="3" s="1"/>
  <c r="F29" i="3"/>
  <c r="R25" i="3"/>
  <c r="H29" i="3" l="1"/>
  <c r="J29" i="3" s="1"/>
  <c r="N29" i="3" s="1"/>
  <c r="R29" i="3" s="1"/>
  <c r="F30" i="3"/>
  <c r="H31" i="3"/>
  <c r="R26" i="3"/>
  <c r="H45" i="3"/>
  <c r="H30" i="3"/>
  <c r="H43" i="3"/>
  <c r="J30" i="3" l="1"/>
  <c r="N30" i="3" s="1"/>
  <c r="R30" i="3" s="1"/>
  <c r="F31" i="3"/>
  <c r="F32" i="3" l="1"/>
  <c r="J31" i="3"/>
  <c r="N31" i="3" s="1"/>
  <c r="H32" i="3"/>
  <c r="R31" i="3" l="1"/>
  <c r="H34" i="3"/>
  <c r="H47" i="3"/>
  <c r="H46" i="3"/>
  <c r="J32" i="3"/>
  <c r="N32" i="3" s="1"/>
  <c r="R32" i="3" s="1"/>
  <c r="F33" i="3"/>
  <c r="H33" i="3"/>
  <c r="H48" i="3"/>
  <c r="F34" i="3" l="1"/>
  <c r="J33" i="3"/>
  <c r="N33" i="3" s="1"/>
  <c r="R33" i="3" s="1"/>
  <c r="J34" i="3" l="1"/>
  <c r="N34" i="3" s="1"/>
  <c r="F35" i="3"/>
  <c r="F36" i="3" l="1"/>
  <c r="R34" i="3"/>
  <c r="H49" i="3"/>
  <c r="H37" i="3"/>
  <c r="H50" i="3"/>
  <c r="H51" i="3"/>
  <c r="H35" i="3"/>
  <c r="J35" i="3" s="1"/>
  <c r="N35" i="3" s="1"/>
  <c r="R35" i="3" s="1"/>
  <c r="H36" i="3"/>
  <c r="F37" i="3" l="1"/>
  <c r="J36" i="3"/>
  <c r="N36" i="3" s="1"/>
  <c r="R36" i="3" s="1"/>
  <c r="F38" i="3" l="1"/>
  <c r="J37" i="3"/>
  <c r="N37" i="3" s="1"/>
  <c r="R37" i="3" s="1"/>
  <c r="H40" i="3"/>
  <c r="H52" i="3" l="1"/>
  <c r="H54" i="3"/>
  <c r="H39" i="3"/>
  <c r="F39" i="3"/>
  <c r="H38" i="3"/>
  <c r="J38" i="3" s="1"/>
  <c r="N38" i="3" s="1"/>
  <c r="H53" i="3"/>
  <c r="R38" i="3" l="1"/>
  <c r="F40" i="3"/>
  <c r="J39" i="3"/>
  <c r="N39" i="3" s="1"/>
  <c r="R39" i="3" s="1"/>
  <c r="F58" i="3" l="1"/>
  <c r="F43" i="3"/>
  <c r="J40" i="3"/>
  <c r="N40" i="3" s="1"/>
  <c r="H59" i="3" s="1"/>
  <c r="R40" i="3" l="1"/>
  <c r="H60" i="3"/>
  <c r="H58" i="3"/>
  <c r="F44" i="3"/>
  <c r="J43" i="3"/>
  <c r="N43" i="3" s="1"/>
  <c r="R43" i="3" s="1"/>
  <c r="F59" i="3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J58" i="3"/>
  <c r="N58" i="3" s="1"/>
  <c r="J44" i="3" l="1"/>
  <c r="N44" i="3" s="1"/>
  <c r="R44" i="3" s="1"/>
  <c r="F45" i="3"/>
  <c r="P60" i="3"/>
  <c r="P68" i="3"/>
  <c r="P65" i="3"/>
  <c r="P62" i="3"/>
  <c r="P59" i="3"/>
  <c r="P67" i="3"/>
  <c r="P64" i="3"/>
  <c r="P61" i="3"/>
  <c r="P69" i="3"/>
  <c r="P58" i="3"/>
  <c r="P66" i="3"/>
  <c r="P63" i="3"/>
  <c r="P72" i="3" l="1"/>
  <c r="P74" i="3" s="1"/>
  <c r="K25" i="2" s="1"/>
  <c r="F46" i="3"/>
  <c r="J45" i="3"/>
  <c r="N45" i="3" s="1"/>
  <c r="K7" i="2" l="1"/>
  <c r="L7" i="2" s="1"/>
  <c r="G7" i="1" s="1"/>
  <c r="K11" i="2"/>
  <c r="L11" i="2" s="1"/>
  <c r="G11" i="1" s="1"/>
  <c r="K15" i="2"/>
  <c r="L15" i="2" s="1"/>
  <c r="G15" i="1" s="1"/>
  <c r="K19" i="2"/>
  <c r="L19" i="2" s="1"/>
  <c r="G19" i="1" s="1"/>
  <c r="K5" i="2"/>
  <c r="L5" i="2" s="1"/>
  <c r="K8" i="2"/>
  <c r="L8" i="2" s="1"/>
  <c r="G8" i="1" s="1"/>
  <c r="K12" i="2"/>
  <c r="L12" i="2" s="1"/>
  <c r="G12" i="1" s="1"/>
  <c r="K16" i="2"/>
  <c r="L16" i="2" s="1"/>
  <c r="G16" i="1" s="1"/>
  <c r="K20" i="2"/>
  <c r="L20" i="2" s="1"/>
  <c r="G20" i="1" s="1"/>
  <c r="K9" i="2"/>
  <c r="L9" i="2" s="1"/>
  <c r="G9" i="1" s="1"/>
  <c r="K13" i="2"/>
  <c r="L13" i="2" s="1"/>
  <c r="G13" i="1" s="1"/>
  <c r="K17" i="2"/>
  <c r="L17" i="2" s="1"/>
  <c r="G17" i="1" s="1"/>
  <c r="K21" i="2"/>
  <c r="L21" i="2" s="1"/>
  <c r="G21" i="1" s="1"/>
  <c r="K6" i="2"/>
  <c r="L6" i="2" s="1"/>
  <c r="G6" i="1" s="1"/>
  <c r="K10" i="2"/>
  <c r="L10" i="2" s="1"/>
  <c r="G10" i="1" s="1"/>
  <c r="K14" i="2"/>
  <c r="L14" i="2" s="1"/>
  <c r="G14" i="1" s="1"/>
  <c r="K18" i="2"/>
  <c r="L18" i="2" s="1"/>
  <c r="G18" i="1" s="1"/>
  <c r="K22" i="2"/>
  <c r="L22" i="2" s="1"/>
  <c r="G22" i="1" s="1"/>
  <c r="R45" i="3"/>
  <c r="F47" i="3"/>
  <c r="J46" i="3"/>
  <c r="N46" i="3" s="1"/>
  <c r="R46" i="3" s="1"/>
  <c r="L25" i="2" l="1"/>
  <c r="G5" i="1"/>
  <c r="F48" i="3"/>
  <c r="J47" i="3"/>
  <c r="N47" i="3" s="1"/>
  <c r="R47" i="3" s="1"/>
  <c r="J48" i="3" l="1"/>
  <c r="N48" i="3" s="1"/>
  <c r="F49" i="3"/>
  <c r="F50" i="3" l="1"/>
  <c r="J49" i="3"/>
  <c r="N49" i="3" s="1"/>
  <c r="R49" i="3" s="1"/>
  <c r="R48" i="3"/>
  <c r="F51" i="3" l="1"/>
  <c r="J50" i="3"/>
  <c r="N50" i="3" s="1"/>
  <c r="R50" i="3" s="1"/>
  <c r="F52" i="3" l="1"/>
  <c r="J51" i="3"/>
  <c r="N51" i="3" s="1"/>
  <c r="R51" i="3" s="1"/>
  <c r="J52" i="3" l="1"/>
  <c r="N52" i="3" s="1"/>
  <c r="R52" i="3" s="1"/>
  <c r="F53" i="3"/>
  <c r="F54" i="3" l="1"/>
  <c r="J54" i="3" s="1"/>
  <c r="N54" i="3" s="1"/>
  <c r="J53" i="3"/>
  <c r="N53" i="3" s="1"/>
  <c r="R53" i="3" s="1"/>
  <c r="R54" i="3" l="1"/>
  <c r="R58" i="3"/>
  <c r="J59" i="3" s="1"/>
  <c r="N59" i="3" s="1"/>
  <c r="R59" i="3" l="1"/>
  <c r="J60" i="3" s="1"/>
  <c r="N60" i="3" s="1"/>
  <c r="R60" i="3" s="1"/>
  <c r="J61" i="3" s="1"/>
  <c r="N61" i="3" s="1"/>
  <c r="R61" i="3" s="1"/>
  <c r="J62" i="3" s="1"/>
  <c r="N62" i="3" s="1"/>
  <c r="R62" i="3" s="1"/>
  <c r="J63" i="3" s="1"/>
  <c r="N63" i="3" s="1"/>
  <c r="R63" i="3" s="1"/>
  <c r="J64" i="3" s="1"/>
  <c r="N64" i="3" s="1"/>
  <c r="R64" i="3" s="1"/>
  <c r="J65" i="3" s="1"/>
  <c r="N65" i="3" s="1"/>
  <c r="R65" i="3" s="1"/>
  <c r="J66" i="3" s="1"/>
  <c r="N66" i="3" s="1"/>
  <c r="R66" i="3" s="1"/>
  <c r="J67" i="3" s="1"/>
  <c r="N67" i="3" s="1"/>
  <c r="R67" i="3" s="1"/>
  <c r="J68" i="3" s="1"/>
  <c r="N68" i="3" s="1"/>
  <c r="R68" i="3" s="1"/>
  <c r="J69" i="3" s="1"/>
  <c r="N69" i="3" s="1"/>
  <c r="R69" i="3" s="1"/>
  <c r="H61" i="3" l="1"/>
  <c r="H63" i="3"/>
  <c r="H62" i="3"/>
  <c r="H66" i="3" l="1"/>
  <c r="H65" i="3"/>
  <c r="H64" i="3"/>
  <c r="H69" i="3" l="1"/>
  <c r="H68" i="3"/>
  <c r="H67" i="3"/>
  <c r="J25" i="2" l="1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I16" i="2" l="1"/>
  <c r="I20" i="2"/>
  <c r="I19" i="2"/>
  <c r="I15" i="2"/>
  <c r="I12" i="2"/>
  <c r="I11" i="2"/>
  <c r="I8" i="2"/>
  <c r="I7" i="2"/>
  <c r="I22" i="2"/>
  <c r="I21" i="2"/>
  <c r="I18" i="2"/>
  <c r="I17" i="2"/>
  <c r="I14" i="2"/>
  <c r="I13" i="2"/>
  <c r="I10" i="2"/>
  <c r="I9" i="2"/>
  <c r="I6" i="2"/>
  <c r="I5" i="2"/>
  <c r="F25" i="1" l="1"/>
  <c r="G25" i="2"/>
  <c r="H25" i="2"/>
  <c r="I25" i="2"/>
  <c r="G25" i="1" l="1"/>
  <c r="H6" i="1" l="1"/>
  <c r="H18" i="1"/>
  <c r="H14" i="1"/>
  <c r="H22" i="1"/>
  <c r="H8" i="1"/>
  <c r="H15" i="1"/>
  <c r="H12" i="1"/>
  <c r="H13" i="1"/>
  <c r="H19" i="1"/>
  <c r="H9" i="1"/>
  <c r="H16" i="1"/>
  <c r="H21" i="1"/>
  <c r="H7" i="1"/>
  <c r="H10" i="1"/>
  <c r="H11" i="1"/>
  <c r="H17" i="1"/>
  <c r="H23" i="1"/>
  <c r="H20" i="1"/>
  <c r="E25" i="1" l="1"/>
  <c r="H5" i="1"/>
  <c r="H25" i="1" s="1"/>
</calcChain>
</file>

<file path=xl/comments1.xml><?xml version="1.0" encoding="utf-8"?>
<comments xmlns="http://schemas.openxmlformats.org/spreadsheetml/2006/main">
  <authors>
    <author>R.Pennybaker</author>
    <author>AEP</author>
  </authors>
  <commentList>
    <comment ref="C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Project Descriptions are in cell [P.xxx]!$D$7]</t>
        </r>
      </text>
    </comment>
    <comment ref="D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Year In Service is in cell [P.xxx]!$D$11]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 xml:space="preserve">AEP:
</t>
        </r>
        <r>
          <rPr>
            <sz val="9"/>
            <color indexed="81"/>
            <rFont val="Tahoma"/>
            <family val="2"/>
          </rPr>
          <t xml:space="preserve">The SPP NTC only allows 94% of this project to be Base Plan.  Therefore, from 2016 Update onward, the indicated ATTR is based upon 94% of actual project investment.
In previous annual Updates, AEP provided 100% investment based ATRR thus SPP only collected 94% of the indicated ATRRs.  
Repeating:  from 2016 Update onward, no scaling is required by SPP as the indicated ATRR is already refelcting the 94% scaler per the original NTC.
</t>
        </r>
      </text>
    </comment>
  </commentList>
</comments>
</file>

<file path=xl/comments2.xml><?xml version="1.0" encoding="utf-8"?>
<comments xmlns="http://schemas.openxmlformats.org/spreadsheetml/2006/main">
  <authors>
    <author>R.Pennybaker</author>
    <author>AEP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Project Descriptions are in cell [P.xxx]!$D$7]</t>
        </r>
      </text>
    </comment>
    <comment ref="F3" authorId="0" shapeId="0">
      <text>
        <r>
          <rPr>
            <b/>
            <sz val="8"/>
            <color indexed="81"/>
            <rFont val="Tahoma"/>
            <family val="2"/>
          </rPr>
          <t>R.Pennybaker:</t>
        </r>
        <r>
          <rPr>
            <sz val="8"/>
            <color indexed="81"/>
            <rFont val="Tahoma"/>
            <family val="2"/>
          </rPr>
          <t xml:space="preserve">
Year In Service is in cell [P.xxx]!$D$11]</t>
        </r>
      </text>
    </comment>
    <comment ref="E8" authorId="1" shapeId="0">
      <text>
        <r>
          <rPr>
            <b/>
            <sz val="9"/>
            <color indexed="81"/>
            <rFont val="Tahoma"/>
            <family val="2"/>
          </rPr>
          <t xml:space="preserve">AEP:
</t>
        </r>
        <r>
          <rPr>
            <sz val="9"/>
            <color indexed="81"/>
            <rFont val="Tahoma"/>
            <family val="2"/>
          </rPr>
          <t xml:space="preserve">The SPP NTC only allows 94% of this project to be Base Plan.  Therefore, from 2016 Update onward, the indicated ATTR is based upon 94% of actual project investment.
In previous annual Updates, AEP provided 100% investment based ATRR thus SPP only collected 94% of the indicated ATRRs.  
Repeating:  from 2016 Update onward, no scaling is required by SPP as the indicated ATRR is already refelcting the 94% scaler per the original NTC.
</t>
        </r>
      </text>
    </comment>
  </commentList>
</comments>
</file>

<file path=xl/sharedStrings.xml><?xml version="1.0" encoding="utf-8"?>
<sst xmlns="http://schemas.openxmlformats.org/spreadsheetml/2006/main" count="167" uniqueCount="86">
  <si>
    <t>Sheet Name</t>
  </si>
  <si>
    <t>Owner</t>
  </si>
  <si>
    <t>Project Description</t>
  </si>
  <si>
    <t>Year in Service</t>
  </si>
  <si>
    <t>OKT.001</t>
  </si>
  <si>
    <t>OKT</t>
  </si>
  <si>
    <t>OKT.002</t>
  </si>
  <si>
    <t>OKT.003</t>
  </si>
  <si>
    <t>OKT.004</t>
  </si>
  <si>
    <t>OKT.005</t>
  </si>
  <si>
    <t>OKT.006</t>
  </si>
  <si>
    <t>OKT.007</t>
  </si>
  <si>
    <t>OKT.008</t>
  </si>
  <si>
    <t>OKT.009</t>
  </si>
  <si>
    <t>OKT.010</t>
  </si>
  <si>
    <t>OKT.011</t>
  </si>
  <si>
    <t>OKT.012</t>
  </si>
  <si>
    <t>OKT.013</t>
  </si>
  <si>
    <t>OKT.014</t>
  </si>
  <si>
    <t>OKT.015</t>
  </si>
  <si>
    <t>OKT.016</t>
  </si>
  <si>
    <t>OKT.017</t>
  </si>
  <si>
    <t>OKT.018</t>
  </si>
  <si>
    <t>OKT.019</t>
  </si>
  <si>
    <t>OKT Total</t>
  </si>
  <si>
    <t>*&lt;$100K investment  *** Project became BPU ineligible (see Project's Notes)</t>
  </si>
  <si>
    <t>Snyder 138 kV Terminal Addition</t>
  </si>
  <si>
    <t>Coffeyville T to Dearing 138 kV Rebuild - 1.1 miles</t>
  </si>
  <si>
    <t>Tulsa Power Station Reactor</t>
  </si>
  <si>
    <t xml:space="preserve">Bartlesville SE to Coffeyville T Rebuild </t>
  </si>
  <si>
    <t>Install 345kV terminal at Valliant***</t>
  </si>
  <si>
    <t xml:space="preserve">Canadian River - McAlester City 138 kV Line Conversion </t>
  </si>
  <si>
    <t xml:space="preserve">Cornville Station Conversion </t>
  </si>
  <si>
    <t>Coweta 69 kV Capacitor</t>
  </si>
  <si>
    <t>Prattville-Bluebell 138 kV</t>
  </si>
  <si>
    <t>Wapanucka Customer Connection</t>
  </si>
  <si>
    <t>Grady Customer Connection</t>
  </si>
  <si>
    <t>Darlington-Red Rock 138 kV line</t>
  </si>
  <si>
    <t>Ellis 138 kV</t>
  </si>
  <si>
    <t>Valliant-NW Texarkana 345 kV</t>
  </si>
  <si>
    <t>Darlington Roman Nose 138 kv</t>
  </si>
  <si>
    <t>Carnegie South-Southwestern 123 kv line rebuild</t>
  </si>
  <si>
    <t>Chisholm - Gracemont 345 kv line and station</t>
  </si>
  <si>
    <t>Duncan-Comanche Tap 69 KV Rebuild</t>
  </si>
  <si>
    <t>Fort Towson-Valliant 69 KV Line Rebuild</t>
  </si>
  <si>
    <t>2018 ATRR True Up</t>
  </si>
  <si>
    <t>Adjustment 2018 ATRR Tax Resettlement</t>
  </si>
  <si>
    <t xml:space="preserve">Adjustment 2017 ROE </t>
  </si>
  <si>
    <t>Line No.</t>
  </si>
  <si>
    <t>SWT.001</t>
  </si>
  <si>
    <t>SWT</t>
  </si>
  <si>
    <t>SWT Total</t>
  </si>
  <si>
    <t>Difference</t>
  </si>
  <si>
    <t>ROE 10.5</t>
  </si>
  <si>
    <t>ROE 11.2</t>
  </si>
  <si>
    <t xml:space="preserve">AEP West SPP Member Transmission Companies </t>
  </si>
  <si>
    <t>AEP OKLAHOMA TRANSMISSION COMPANY, INC.</t>
  </si>
  <si>
    <t>True-up Adjustment - Over (Under) Recovery</t>
  </si>
  <si>
    <t>True Up Year:</t>
  </si>
  <si>
    <t xml:space="preserve"> </t>
  </si>
  <si>
    <t>Intermediate Year:</t>
  </si>
  <si>
    <t>Rate Year:</t>
  </si>
  <si>
    <t>Month</t>
  </si>
  <si>
    <t>Refunds/
(Surcharges)</t>
  </si>
  <si>
    <t>Cumulative Refunds/(Surcharges) - Beginning of Month (Without Interest)</t>
  </si>
  <si>
    <t>Base for Quarterly Compound Interest</t>
  </si>
  <si>
    <t>Base for Monthly Interest</t>
  </si>
  <si>
    <t>Monthly Interest Rate (Worksheet Q)</t>
  </si>
  <si>
    <t>Calculated Interest</t>
  </si>
  <si>
    <t>Amortization</t>
  </si>
  <si>
    <t>Cumulative Refunds and Interest - End of Month</t>
  </si>
  <si>
    <t>Calculation of Interest</t>
  </si>
  <si>
    <t>True-Up Year</t>
  </si>
  <si>
    <t>Intermediate Year</t>
  </si>
  <si>
    <t>Over (Under) Recovery Plus Interest Amortized and Recovered Over 12 Months</t>
  </si>
  <si>
    <t>Rate Year</t>
  </si>
  <si>
    <t>True-Up Adjustment with Interest</t>
  </si>
  <si>
    <t>Less Over (Under) Recovery</t>
  </si>
  <si>
    <t>Total Interest</t>
  </si>
  <si>
    <r>
      <rPr>
        <b/>
        <sz val="12"/>
        <rFont val="Arial Narrow"/>
        <family val="2"/>
      </rPr>
      <t>Note 1:</t>
    </r>
    <r>
      <rPr>
        <sz val="12"/>
        <rFont val="Arial Narrow"/>
        <family val="2"/>
      </rPr>
      <t xml:space="preserve">  The monthly interest rates to be applied to the over recovery or under recovery amounts during the true-up year and the intermediate year will be determined using the monthly FERC interest rates (as determined pursuant to 18 C.F.R. Section 35.19a) posted at </t>
    </r>
    <r>
      <rPr>
        <u/>
        <sz val="12"/>
        <rFont val="Arial Narrow"/>
        <family val="2"/>
      </rPr>
      <t>https://www.ferc.gov/enforcement/acct-matts/interest-rates.asp</t>
    </r>
    <r>
      <rPr>
        <sz val="12"/>
        <rFont val="Arial Narrow"/>
        <family val="2"/>
      </rPr>
      <t>.  The monthly interest rate to be applied to the over recovery or under recovery amounts each month during the rate year will equal a simple average of the 12 monthly interest rates for the intermediate year.</t>
    </r>
  </si>
  <si>
    <r>
      <rPr>
        <b/>
        <sz val="12"/>
        <rFont val="Arial Narrow"/>
        <family val="2"/>
      </rPr>
      <t>Note 2:</t>
    </r>
    <r>
      <rPr>
        <sz val="12"/>
        <rFont val="Arial Narrow"/>
        <family val="2"/>
      </rPr>
      <t xml:space="preserve"> An over or under collection for the Schedule 11 charge will be recovered prorata over the true-up year, held for the intermediate year and returned prorata over the rate year.</t>
    </r>
  </si>
  <si>
    <t>2017 BASE PLAN ROE REFUND INTEREST THROUGH 2020</t>
  </si>
  <si>
    <t>Interest</t>
  </si>
  <si>
    <t>Total 2017 Refund including Interest</t>
  </si>
  <si>
    <t>Total True Up Included in 2020 Base Plan PTRR</t>
  </si>
  <si>
    <t>OKLAHOMA TRANSMISSION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</si>
</sst>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000%"/>
    <numFmt numFmtId="167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Arial MT"/>
    </font>
    <font>
      <b/>
      <sz val="12"/>
      <name val="Arial"/>
      <family val="2"/>
    </font>
    <font>
      <sz val="12"/>
      <name val="Arial Narrow"/>
      <family val="2"/>
    </font>
    <font>
      <sz val="10"/>
      <color indexed="12"/>
      <name val="Arial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b/>
      <i/>
      <sz val="12"/>
      <name val="Arial Narrow"/>
      <family val="2"/>
    </font>
    <font>
      <u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quotePrefix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0" fillId="0" borderId="2" xfId="0" applyBorder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quotePrefix="1" applyFont="1" applyAlignment="1">
      <alignment horizontal="center" vertical="center"/>
    </xf>
    <xf numFmtId="0" fontId="0" fillId="0" borderId="0" xfId="0" quotePrefix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/>
    <xf numFmtId="0" fontId="10" fillId="0" borderId="0" xfId="0" applyFont="1" applyAlignment="1"/>
    <xf numFmtId="0" fontId="3" fillId="0" borderId="0" xfId="0" applyFont="1"/>
    <xf numFmtId="0" fontId="11" fillId="0" borderId="0" xfId="0" applyFont="1" applyAlignment="1">
      <alignment vertical="center"/>
    </xf>
    <xf numFmtId="0" fontId="14" fillId="0" borderId="0" xfId="0" applyFont="1" applyFill="1" applyAlignment="1" applyProtection="1">
      <alignment horizontal="left"/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horizontal="center" wrapText="1"/>
      <protection locked="0"/>
    </xf>
    <xf numFmtId="0" fontId="14" fillId="0" borderId="3" xfId="0" applyFont="1" applyFill="1" applyBorder="1" applyAlignment="1" applyProtection="1">
      <alignment horizontal="center" wrapText="1"/>
      <protection locked="0"/>
    </xf>
    <xf numFmtId="0" fontId="10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1" fontId="15" fillId="2" borderId="0" xfId="2" applyNumberFormat="1" applyFont="1" applyFill="1" applyBorder="1" applyAlignment="1">
      <alignment horizontal="center"/>
    </xf>
    <xf numFmtId="0" fontId="14" fillId="0" borderId="4" xfId="0" applyFont="1" applyFill="1" applyBorder="1" applyProtection="1">
      <protection locked="0"/>
    </xf>
    <xf numFmtId="165" fontId="14" fillId="0" borderId="0" xfId="0" applyNumberFormat="1" applyFont="1" applyFill="1" applyAlignment="1" applyProtection="1">
      <alignment horizontal="right"/>
      <protection locked="0"/>
    </xf>
    <xf numFmtId="165" fontId="14" fillId="0" borderId="0" xfId="0" applyNumberFormat="1" applyFont="1" applyFill="1" applyProtection="1">
      <protection locked="0"/>
    </xf>
    <xf numFmtId="0" fontId="3" fillId="0" borderId="0" xfId="0" applyNumberFormat="1" applyFont="1" applyAlignment="1">
      <alignment horizontal="center"/>
    </xf>
    <xf numFmtId="0" fontId="16" fillId="0" borderId="0" xfId="0" quotePrefix="1" applyNumberFormat="1" applyFont="1" applyFill="1" applyAlignment="1" applyProtection="1">
      <alignment horizontal="center"/>
      <protection locked="0"/>
    </xf>
    <xf numFmtId="5" fontId="14" fillId="0" borderId="5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Fill="1" applyProtection="1">
      <protection locked="0"/>
    </xf>
    <xf numFmtId="164" fontId="14" fillId="0" borderId="0" xfId="0" applyNumberFormat="1" applyFont="1" applyFill="1" applyProtection="1"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4" fillId="0" borderId="0" xfId="0" applyNumberFormat="1" applyFont="1" applyFill="1" applyAlignment="1" applyProtection="1">
      <alignment horizontal="right"/>
      <protection locked="0"/>
    </xf>
    <xf numFmtId="0" fontId="14" fillId="0" borderId="0" xfId="0" applyNumberFormat="1" applyFont="1" applyFill="1" applyAlignment="1" applyProtection="1">
      <alignment horizontal="center"/>
      <protection locked="0"/>
    </xf>
    <xf numFmtId="164" fontId="14" fillId="0" borderId="6" xfId="0" applyNumberFormat="1" applyFont="1" applyFill="1" applyBorder="1" applyProtection="1">
      <protection locked="0"/>
    </xf>
    <xf numFmtId="0" fontId="14" fillId="0" borderId="6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Protection="1">
      <protection locked="0"/>
    </xf>
    <xf numFmtId="164" fontId="14" fillId="0" borderId="0" xfId="0" applyNumberFormat="1" applyFont="1" applyFill="1" applyAlignment="1" applyProtection="1">
      <alignment horizontal="left"/>
      <protection locked="0"/>
    </xf>
    <xf numFmtId="0" fontId="16" fillId="0" borderId="0" xfId="0" applyNumberFormat="1" applyFont="1" applyFill="1" applyAlignment="1" applyProtection="1">
      <alignment horizontal="center" wrapText="1"/>
      <protection locked="0"/>
    </xf>
    <xf numFmtId="0" fontId="16" fillId="0" borderId="0" xfId="0" applyFont="1" applyFill="1" applyAlignment="1" applyProtection="1">
      <alignment horizontal="center" wrapText="1"/>
      <protection locked="0"/>
    </xf>
    <xf numFmtId="164" fontId="16" fillId="0" borderId="0" xfId="0" applyNumberFormat="1" applyFont="1" applyFill="1" applyAlignment="1" applyProtection="1">
      <alignment horizontal="center" wrapText="1"/>
      <protection locked="0"/>
    </xf>
    <xf numFmtId="0" fontId="16" fillId="0" borderId="0" xfId="0" applyFont="1" applyFill="1" applyAlignment="1" applyProtection="1">
      <alignment horizontal="center"/>
      <protection locked="0"/>
    </xf>
    <xf numFmtId="164" fontId="16" fillId="0" borderId="0" xfId="0" applyNumberFormat="1" applyFont="1" applyFill="1" applyAlignment="1" applyProtection="1">
      <alignment horizontal="center"/>
      <protection locked="0"/>
    </xf>
    <xf numFmtId="0" fontId="16" fillId="0" borderId="0" xfId="0" applyNumberFormat="1" applyFont="1" applyFill="1" applyAlignment="1" applyProtection="1">
      <alignment horizontal="left"/>
      <protection locked="0"/>
    </xf>
    <xf numFmtId="166" fontId="14" fillId="0" borderId="0" xfId="3" applyNumberFormat="1" applyFont="1" applyFill="1" applyProtection="1"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left"/>
      <protection locked="0"/>
    </xf>
    <xf numFmtId="14" fontId="14" fillId="0" borderId="0" xfId="0" applyNumberFormat="1" applyFont="1" applyFill="1" applyAlignment="1" applyProtection="1">
      <alignment horizontal="left"/>
      <protection locked="0"/>
    </xf>
    <xf numFmtId="164" fontId="14" fillId="0" borderId="0" xfId="2" applyNumberFormat="1" applyFont="1" applyFill="1" applyProtection="1">
      <protection locked="0"/>
    </xf>
    <xf numFmtId="164" fontId="14" fillId="0" borderId="0" xfId="4" applyNumberFormat="1" applyFont="1" applyFill="1" applyProtection="1">
      <protection locked="0"/>
    </xf>
    <xf numFmtId="167" fontId="14" fillId="0" borderId="0" xfId="0" applyNumberFormat="1" applyFont="1" applyFill="1" applyAlignment="1" applyProtection="1">
      <alignment horizontal="center"/>
      <protection locked="0"/>
    </xf>
    <xf numFmtId="0" fontId="14" fillId="0" borderId="0" xfId="0" applyNumberFormat="1" applyFont="1" applyFill="1" applyProtection="1">
      <protection locked="0"/>
    </xf>
    <xf numFmtId="0" fontId="14" fillId="0" borderId="0" xfId="0" applyNumberFormat="1" applyFont="1" applyFill="1"/>
    <xf numFmtId="164" fontId="14" fillId="0" borderId="0" xfId="2" applyNumberFormat="1" applyFont="1" applyFill="1" applyBorder="1" applyProtection="1">
      <protection locked="0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164" fontId="16" fillId="0" borderId="0" xfId="2" applyNumberFormat="1" applyFont="1" applyFill="1" applyProtection="1">
      <protection locked="0"/>
    </xf>
    <xf numFmtId="164" fontId="10" fillId="0" borderId="0" xfId="2" applyNumberFormat="1" applyFont="1" applyFill="1"/>
    <xf numFmtId="164" fontId="16" fillId="0" borderId="0" xfId="2" applyNumberFormat="1" applyFont="1" applyFill="1" applyBorder="1" applyAlignment="1" applyProtection="1">
      <alignment horizontal="center"/>
      <protection locked="0"/>
    </xf>
    <xf numFmtId="10" fontId="3" fillId="0" borderId="0" xfId="5" applyNumberFormat="1" applyFont="1"/>
    <xf numFmtId="0" fontId="17" fillId="0" borderId="0" xfId="0" applyFont="1" applyFill="1" applyProtection="1">
      <protection locked="0"/>
    </xf>
    <xf numFmtId="164" fontId="16" fillId="0" borderId="0" xfId="2" applyNumberFormat="1" applyFont="1" applyFill="1" applyAlignment="1" applyProtection="1">
      <alignment horizontal="center"/>
      <protection locked="0"/>
    </xf>
    <xf numFmtId="0" fontId="18" fillId="0" borderId="0" xfId="0" applyFont="1" applyFill="1" applyProtection="1">
      <protection locked="0"/>
    </xf>
    <xf numFmtId="164" fontId="16" fillId="0" borderId="0" xfId="0" applyNumberFormat="1" applyFont="1" applyFill="1" applyProtection="1">
      <protection locked="0"/>
    </xf>
    <xf numFmtId="43" fontId="3" fillId="0" borderId="0" xfId="0" applyNumberFormat="1" applyFont="1"/>
    <xf numFmtId="14" fontId="14" fillId="0" borderId="6" xfId="0" applyNumberFormat="1" applyFont="1" applyFill="1" applyBorder="1" applyAlignment="1" applyProtection="1">
      <alignment horizontal="left"/>
      <protection locked="0"/>
    </xf>
    <xf numFmtId="0" fontId="14" fillId="0" borderId="6" xfId="0" applyFont="1" applyFill="1" applyBorder="1" applyProtection="1">
      <protection locked="0"/>
    </xf>
    <xf numFmtId="164" fontId="14" fillId="0" borderId="6" xfId="2" applyNumberFormat="1" applyFont="1" applyFill="1" applyBorder="1" applyProtection="1">
      <protection locked="0"/>
    </xf>
    <xf numFmtId="167" fontId="14" fillId="0" borderId="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/>
    <xf numFmtId="0" fontId="14" fillId="0" borderId="1" xfId="0" applyFont="1" applyFill="1" applyBorder="1" applyProtection="1">
      <protection locked="0"/>
    </xf>
    <xf numFmtId="0" fontId="10" fillId="0" borderId="1" xfId="0" applyFont="1" applyFill="1" applyBorder="1"/>
    <xf numFmtId="164" fontId="10" fillId="0" borderId="1" xfId="2" applyNumberFormat="1" applyFont="1" applyFill="1" applyBorder="1"/>
    <xf numFmtId="164" fontId="14" fillId="0" borderId="1" xfId="2" applyNumberFormat="1" applyFont="1" applyFill="1" applyBorder="1"/>
    <xf numFmtId="0" fontId="14" fillId="0" borderId="0" xfId="0" applyFont="1" applyFill="1" applyBorder="1" applyProtection="1">
      <protection locked="0"/>
    </xf>
    <xf numFmtId="0" fontId="10" fillId="0" borderId="0" xfId="0" applyFont="1" applyFill="1" applyBorder="1"/>
    <xf numFmtId="164" fontId="10" fillId="0" borderId="0" xfId="2" applyNumberFormat="1" applyFont="1" applyFill="1" applyBorder="1"/>
    <xf numFmtId="164" fontId="14" fillId="0" borderId="0" xfId="2" applyNumberFormat="1" applyFont="1" applyFill="1" applyBorder="1"/>
    <xf numFmtId="0" fontId="14" fillId="0" borderId="2" xfId="0" applyFont="1" applyFill="1" applyBorder="1" applyProtection="1">
      <protection locked="0"/>
    </xf>
    <xf numFmtId="0" fontId="10" fillId="0" borderId="2" xfId="0" applyFont="1" applyFill="1" applyBorder="1"/>
    <xf numFmtId="164" fontId="10" fillId="0" borderId="2" xfId="2" applyNumberFormat="1" applyFont="1" applyFill="1" applyBorder="1"/>
    <xf numFmtId="164" fontId="14" fillId="0" borderId="2" xfId="2" applyNumberFormat="1" applyFont="1" applyFill="1" applyBorder="1"/>
    <xf numFmtId="0" fontId="3" fillId="0" borderId="0" xfId="0" applyFont="1" applyFill="1"/>
    <xf numFmtId="0" fontId="14" fillId="0" borderId="0" xfId="0" applyFont="1" applyFill="1" applyAlignment="1" applyProtection="1">
      <alignment wrapText="1"/>
      <protection locked="0"/>
    </xf>
    <xf numFmtId="43" fontId="3" fillId="0" borderId="0" xfId="6" applyNumberFormat="1" applyFont="1" applyFill="1" applyBorder="1" applyProtection="1">
      <protection locked="0"/>
    </xf>
    <xf numFmtId="0" fontId="2" fillId="3" borderId="0" xfId="0" applyFont="1" applyFill="1" applyAlignment="1">
      <alignment horizontal="center" wrapText="1"/>
    </xf>
    <xf numFmtId="0" fontId="0" fillId="3" borderId="0" xfId="0" applyFill="1"/>
    <xf numFmtId="164" fontId="0" fillId="3" borderId="0" xfId="0" applyNumberFormat="1" applyFill="1"/>
    <xf numFmtId="164" fontId="0" fillId="3" borderId="2" xfId="0" applyNumberFormat="1" applyFill="1" applyBorder="1"/>
    <xf numFmtId="0" fontId="12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3" fontId="13" fillId="0" borderId="0" xfId="0" applyNumberFormat="1" applyFont="1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</cellXfs>
  <cellStyles count="7">
    <cellStyle name="Comma" xfId="1" builtinId="3"/>
    <cellStyle name="Comma 100" xfId="2"/>
    <cellStyle name="Comma 2" xfId="4"/>
    <cellStyle name="Normal" xfId="0" builtinId="0"/>
    <cellStyle name="Normal 2" xfId="6"/>
    <cellStyle name="Percent 10" xf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A2" sqref="A2"/>
    </sheetView>
  </sheetViews>
  <sheetFormatPr defaultRowHeight="15"/>
  <cols>
    <col min="1" max="1" width="9.85546875" customWidth="1"/>
    <col min="2" max="2" width="7" bestFit="1" customWidth="1"/>
    <col min="3" max="3" width="43.140625" customWidth="1"/>
    <col min="4" max="4" width="9" customWidth="1"/>
    <col min="5" max="5" width="14" bestFit="1" customWidth="1"/>
    <col min="6" max="6" width="13.7109375" customWidth="1"/>
    <col min="7" max="7" width="13.140625" customWidth="1"/>
    <col min="8" max="8" width="15.28515625" customWidth="1"/>
  </cols>
  <sheetData>
    <row r="1" spans="1:8">
      <c r="A1" s="27" t="s">
        <v>85</v>
      </c>
    </row>
    <row r="2" spans="1:8">
      <c r="D2" s="2"/>
    </row>
    <row r="3" spans="1:8" ht="60">
      <c r="A3" s="3" t="s">
        <v>0</v>
      </c>
      <c r="B3" s="4" t="s">
        <v>1</v>
      </c>
      <c r="C3" s="4" t="s">
        <v>2</v>
      </c>
      <c r="D3" s="5" t="s">
        <v>3</v>
      </c>
      <c r="E3" s="18" t="s">
        <v>45</v>
      </c>
      <c r="F3" s="18" t="s">
        <v>46</v>
      </c>
      <c r="G3" s="26" t="s">
        <v>83</v>
      </c>
      <c r="H3" s="100" t="s">
        <v>84</v>
      </c>
    </row>
    <row r="4" spans="1:8">
      <c r="B4" s="2"/>
      <c r="C4" s="2"/>
      <c r="H4" s="101"/>
    </row>
    <row r="5" spans="1:8">
      <c r="A5" s="6" t="s">
        <v>4</v>
      </c>
      <c r="B5" s="1" t="s">
        <v>5</v>
      </c>
      <c r="C5" s="7" t="s">
        <v>26</v>
      </c>
      <c r="D5" s="8">
        <v>2010</v>
      </c>
      <c r="E5" s="16">
        <v>-13566.846741020885</v>
      </c>
      <c r="F5" s="17">
        <v>8378.3198630019324</v>
      </c>
      <c r="G5" s="17">
        <f>+'2017 Refund'!L5</f>
        <v>-1826.9166153415997</v>
      </c>
      <c r="H5" s="102">
        <f>SUM(E5:G5)</f>
        <v>-7015.4434933605526</v>
      </c>
    </row>
    <row r="6" spans="1:8" ht="25.5">
      <c r="A6" s="6" t="s">
        <v>6</v>
      </c>
      <c r="B6" s="1" t="s">
        <v>5</v>
      </c>
      <c r="C6" s="7" t="s">
        <v>27</v>
      </c>
      <c r="D6" s="8">
        <v>2010</v>
      </c>
      <c r="E6" s="16">
        <v>-17981.309888161279</v>
      </c>
      <c r="F6" s="17">
        <v>11261.890998673756</v>
      </c>
      <c r="G6" s="17">
        <f>+'2017 Refund'!L6</f>
        <v>-2458.4547543465951</v>
      </c>
      <c r="H6" s="102">
        <f t="shared" ref="H6:H24" si="0">SUM(E6:G6)</f>
        <v>-9177.8736438341184</v>
      </c>
    </row>
    <row r="7" spans="1:8">
      <c r="A7" s="6" t="s">
        <v>7</v>
      </c>
      <c r="B7" s="1" t="s">
        <v>5</v>
      </c>
      <c r="C7" s="7" t="s">
        <v>28</v>
      </c>
      <c r="D7" s="8">
        <v>2011</v>
      </c>
      <c r="E7" s="16">
        <v>-11593.420803211808</v>
      </c>
      <c r="F7" s="17">
        <v>7219.0445119220676</v>
      </c>
      <c r="G7" s="17">
        <f>+'2017 Refund'!L7</f>
        <v>-1576.2698664054819</v>
      </c>
      <c r="H7" s="102">
        <f t="shared" si="0"/>
        <v>-5950.6461576952224</v>
      </c>
    </row>
    <row r="8" spans="1:8">
      <c r="A8" s="6" t="s">
        <v>8</v>
      </c>
      <c r="B8" s="1" t="s">
        <v>5</v>
      </c>
      <c r="C8" s="7" t="s">
        <v>29</v>
      </c>
      <c r="D8" s="8">
        <v>2011</v>
      </c>
      <c r="E8" s="16">
        <v>-214124.11161247914</v>
      </c>
      <c r="F8" s="17">
        <v>129039.99301201175</v>
      </c>
      <c r="G8" s="17">
        <f>+'2017 Refund'!L8</f>
        <v>-28080.116531182241</v>
      </c>
      <c r="H8" s="102">
        <f t="shared" si="0"/>
        <v>-113164.23513164964</v>
      </c>
    </row>
    <row r="9" spans="1:8">
      <c r="A9" s="6" t="s">
        <v>9</v>
      </c>
      <c r="B9" s="1" t="s">
        <v>5</v>
      </c>
      <c r="C9" s="7" t="s">
        <v>30</v>
      </c>
      <c r="D9" s="8">
        <v>2012</v>
      </c>
      <c r="E9" s="16">
        <v>0</v>
      </c>
      <c r="F9" s="17">
        <v>0</v>
      </c>
      <c r="G9" s="17">
        <f>+'2017 Refund'!L9</f>
        <v>0</v>
      </c>
      <c r="H9" s="102">
        <f t="shared" si="0"/>
        <v>0</v>
      </c>
    </row>
    <row r="10" spans="1:8" ht="25.5">
      <c r="A10" s="6" t="s">
        <v>10</v>
      </c>
      <c r="B10" s="1" t="s">
        <v>5</v>
      </c>
      <c r="C10" s="7" t="s">
        <v>31</v>
      </c>
      <c r="D10" s="8">
        <v>2013</v>
      </c>
      <c r="E10" s="16">
        <v>-569854.4328393219</v>
      </c>
      <c r="F10" s="17">
        <v>353186.37263732497</v>
      </c>
      <c r="G10" s="17">
        <f>+'2017 Refund'!L10</f>
        <v>-77182.30074086893</v>
      </c>
      <c r="H10" s="102">
        <f t="shared" si="0"/>
        <v>-293850.36094286584</v>
      </c>
    </row>
    <row r="11" spans="1:8">
      <c r="A11" s="6" t="s">
        <v>11</v>
      </c>
      <c r="B11" s="1" t="s">
        <v>5</v>
      </c>
      <c r="C11" s="7" t="s">
        <v>32</v>
      </c>
      <c r="D11" s="8">
        <v>2014</v>
      </c>
      <c r="E11" s="16">
        <v>-200949.05700281338</v>
      </c>
      <c r="F11" s="17">
        <v>125942.09359101299</v>
      </c>
      <c r="G11" s="17">
        <f>+'2017 Refund'!L11</f>
        <v>-27574.316547895418</v>
      </c>
      <c r="H11" s="102">
        <f t="shared" si="0"/>
        <v>-102581.27995969581</v>
      </c>
    </row>
    <row r="12" spans="1:8">
      <c r="A12" s="6" t="s">
        <v>12</v>
      </c>
      <c r="B12" s="1" t="s">
        <v>5</v>
      </c>
      <c r="C12" s="7" t="s">
        <v>33</v>
      </c>
      <c r="D12" s="8">
        <v>2014</v>
      </c>
      <c r="E12" s="16">
        <v>-38616.818547073635</v>
      </c>
      <c r="F12" s="17">
        <v>23172.139457589015</v>
      </c>
      <c r="G12" s="17">
        <f>+'2017 Refund'!L12</f>
        <v>-5030.5622518196524</v>
      </c>
      <c r="H12" s="102">
        <f t="shared" si="0"/>
        <v>-20475.241341304274</v>
      </c>
    </row>
    <row r="13" spans="1:8">
      <c r="A13" s="9" t="s">
        <v>13</v>
      </c>
      <c r="B13" s="1" t="s">
        <v>5</v>
      </c>
      <c r="C13" s="7" t="s">
        <v>34</v>
      </c>
      <c r="D13" s="8">
        <v>2015</v>
      </c>
      <c r="E13" s="16">
        <v>-172124.40057715453</v>
      </c>
      <c r="F13" s="17">
        <v>107423.21498143882</v>
      </c>
      <c r="G13" s="17">
        <f>+'2017 Refund'!L13</f>
        <v>-23522.139927922151</v>
      </c>
      <c r="H13" s="102">
        <f t="shared" si="0"/>
        <v>-88223.325523637861</v>
      </c>
    </row>
    <row r="14" spans="1:8">
      <c r="A14" s="9" t="s">
        <v>14</v>
      </c>
      <c r="B14" s="1" t="s">
        <v>5</v>
      </c>
      <c r="C14" s="7" t="s">
        <v>35</v>
      </c>
      <c r="D14" s="8">
        <v>2013</v>
      </c>
      <c r="E14" s="16">
        <v>-127451.42107695178</v>
      </c>
      <c r="F14" s="17">
        <v>88238.898637241102</v>
      </c>
      <c r="G14" s="17">
        <f>+'2017 Refund'!L14</f>
        <v>-19504.085259835632</v>
      </c>
      <c r="H14" s="102">
        <f t="shared" si="0"/>
        <v>-58716.607699546308</v>
      </c>
    </row>
    <row r="15" spans="1:8">
      <c r="A15" s="9" t="s">
        <v>15</v>
      </c>
      <c r="B15" s="1" t="s">
        <v>5</v>
      </c>
      <c r="C15" s="7" t="s">
        <v>36</v>
      </c>
      <c r="D15" s="8">
        <v>2014</v>
      </c>
      <c r="E15" s="16">
        <v>-404678.45481754583</v>
      </c>
      <c r="F15" s="17">
        <v>252400.72419186262</v>
      </c>
      <c r="G15" s="17">
        <f>+'2017 Refund'!L15</f>
        <v>-55216.049256913364</v>
      </c>
      <c r="H15" s="102">
        <f t="shared" si="0"/>
        <v>-207493.77988259657</v>
      </c>
    </row>
    <row r="16" spans="1:8">
      <c r="A16" s="9" t="s">
        <v>16</v>
      </c>
      <c r="B16" s="1" t="s">
        <v>5</v>
      </c>
      <c r="C16" s="7" t="s">
        <v>37</v>
      </c>
      <c r="D16" s="8">
        <v>2013</v>
      </c>
      <c r="E16" s="16">
        <v>-228958.78313762951</v>
      </c>
      <c r="F16" s="17">
        <v>161681.37409057631</v>
      </c>
      <c r="G16" s="17">
        <f>+'2017 Refund'!L16</f>
        <v>-35807.333156913839</v>
      </c>
      <c r="H16" s="102">
        <f t="shared" si="0"/>
        <v>-103084.74220396703</v>
      </c>
    </row>
    <row r="17" spans="1:8">
      <c r="A17" s="9" t="s">
        <v>17</v>
      </c>
      <c r="B17" s="1" t="s">
        <v>5</v>
      </c>
      <c r="C17" s="7" t="s">
        <v>38</v>
      </c>
      <c r="D17" s="8">
        <v>2013</v>
      </c>
      <c r="E17" s="16">
        <v>664141.8345280108</v>
      </c>
      <c r="F17" s="17">
        <v>0</v>
      </c>
      <c r="G17" s="17">
        <f>+'2017 Refund'!L17</f>
        <v>-12828.880958809421</v>
      </c>
      <c r="H17" s="102">
        <f t="shared" si="0"/>
        <v>651312.9535692014</v>
      </c>
    </row>
    <row r="18" spans="1:8">
      <c r="A18" s="9" t="s">
        <v>18</v>
      </c>
      <c r="B18" s="1" t="s">
        <v>5</v>
      </c>
      <c r="C18" s="7" t="s">
        <v>39</v>
      </c>
      <c r="D18" s="8">
        <v>2016</v>
      </c>
      <c r="E18" s="16">
        <v>-1847342.1756851445</v>
      </c>
      <c r="F18" s="17">
        <v>896601.7254122775</v>
      </c>
      <c r="G18" s="17">
        <f>+'2017 Refund'!L18</f>
        <v>-184022.42465054931</v>
      </c>
      <c r="H18" s="102">
        <f t="shared" si="0"/>
        <v>-1134762.8749234164</v>
      </c>
    </row>
    <row r="19" spans="1:8">
      <c r="A19" s="9" t="s">
        <v>19</v>
      </c>
      <c r="B19" s="1" t="s">
        <v>5</v>
      </c>
      <c r="C19" s="7" t="s">
        <v>40</v>
      </c>
      <c r="D19" s="8">
        <v>2017</v>
      </c>
      <c r="E19" s="16">
        <v>-152427.24725024324</v>
      </c>
      <c r="F19" s="17">
        <v>139175.28529998148</v>
      </c>
      <c r="G19" s="17">
        <f>+'2017 Refund'!L19</f>
        <v>-15621.266204502997</v>
      </c>
      <c r="H19" s="102">
        <f t="shared" si="0"/>
        <v>-28873.228154764754</v>
      </c>
    </row>
    <row r="20" spans="1:8">
      <c r="A20" s="9" t="s">
        <v>20</v>
      </c>
      <c r="B20" s="1" t="s">
        <v>5</v>
      </c>
      <c r="C20" s="7" t="s">
        <v>41</v>
      </c>
      <c r="D20" s="8">
        <v>2017</v>
      </c>
      <c r="E20" s="16">
        <v>-82881.023882494541</v>
      </c>
      <c r="F20" s="17">
        <v>116871.97601118847</v>
      </c>
      <c r="G20" s="17">
        <f>+'2017 Refund'!L20</f>
        <v>-13485.537494091201</v>
      </c>
      <c r="H20" s="102">
        <f t="shared" si="0"/>
        <v>20505.414634602726</v>
      </c>
    </row>
    <row r="21" spans="1:8">
      <c r="A21" s="9" t="s">
        <v>21</v>
      </c>
      <c r="B21" s="1" t="s">
        <v>5</v>
      </c>
      <c r="C21" s="7" t="s">
        <v>42</v>
      </c>
      <c r="D21" s="8">
        <v>2017</v>
      </c>
      <c r="E21" s="16">
        <v>-985208.32633272477</v>
      </c>
      <c r="F21" s="17">
        <v>1096824.854567904</v>
      </c>
      <c r="G21" s="17">
        <f>+'2017 Refund'!L21</f>
        <v>-130096.15021694082</v>
      </c>
      <c r="H21" s="102">
        <f t="shared" si="0"/>
        <v>-18479.621981761564</v>
      </c>
    </row>
    <row r="22" spans="1:8">
      <c r="A22" s="9" t="s">
        <v>22</v>
      </c>
      <c r="B22" s="1" t="s">
        <v>5</v>
      </c>
      <c r="C22" s="7" t="s">
        <v>43</v>
      </c>
      <c r="D22" s="8">
        <v>2016</v>
      </c>
      <c r="E22" s="16">
        <v>-147695.00999454421</v>
      </c>
      <c r="F22" s="17">
        <v>98640.473410152132</v>
      </c>
      <c r="G22" s="17">
        <f>+'2017 Refund'!L22</f>
        <v>0</v>
      </c>
      <c r="H22" s="102">
        <f t="shared" si="0"/>
        <v>-49054.536584392074</v>
      </c>
    </row>
    <row r="23" spans="1:8">
      <c r="A23" s="9" t="s">
        <v>23</v>
      </c>
      <c r="B23" s="1" t="s">
        <v>5</v>
      </c>
      <c r="C23" s="7" t="s">
        <v>44</v>
      </c>
      <c r="D23" s="8">
        <v>2018</v>
      </c>
      <c r="E23" s="16">
        <v>-1238382.2783981627</v>
      </c>
      <c r="F23" s="17">
        <v>111511.09082026477</v>
      </c>
      <c r="G23" s="17">
        <f>+'2017 Refund'!L23</f>
        <v>0</v>
      </c>
      <c r="H23" s="102">
        <f t="shared" si="0"/>
        <v>-1126871.1875778979</v>
      </c>
    </row>
    <row r="24" spans="1:8">
      <c r="A24" s="10"/>
      <c r="B24" s="10"/>
      <c r="C24" s="10"/>
      <c r="D24" s="1"/>
      <c r="E24" s="15"/>
      <c r="F24" s="15"/>
      <c r="G24" s="15"/>
      <c r="H24" s="103">
        <f t="shared" si="0"/>
        <v>0</v>
      </c>
    </row>
    <row r="25" spans="1:8">
      <c r="A25" s="10"/>
      <c r="B25" s="10"/>
      <c r="C25" s="11" t="s">
        <v>24</v>
      </c>
      <c r="D25" s="12"/>
      <c r="E25" s="17">
        <f>SUM(E5:E24)</f>
        <v>-5789693.2840586659</v>
      </c>
      <c r="F25" s="17">
        <f>SUM(F5:F24)</f>
        <v>3727569.4714944232</v>
      </c>
      <c r="G25" s="17">
        <f>SUM(G5:G23)</f>
        <v>-633832.80443433858</v>
      </c>
      <c r="H25" s="102">
        <f>SUM(H5:H24)</f>
        <v>-2695956.6169985812</v>
      </c>
    </row>
    <row r="26" spans="1:8">
      <c r="A26" s="10"/>
      <c r="B26" s="10"/>
      <c r="C26" s="13"/>
      <c r="D26" s="10"/>
    </row>
  </sheetData>
  <pageMargins left="0.45" right="0.2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38"/>
  <sheetViews>
    <sheetView workbookViewId="0">
      <selection activeCell="A2" sqref="A2"/>
    </sheetView>
  </sheetViews>
  <sheetFormatPr defaultRowHeight="15"/>
  <cols>
    <col min="1" max="1" width="7.28515625" customWidth="1"/>
    <col min="2" max="2" width="1.85546875" customWidth="1"/>
    <col min="3" max="3" width="9.42578125" customWidth="1"/>
    <col min="4" max="4" width="7" bestFit="1" customWidth="1"/>
    <col min="5" max="5" width="49" customWidth="1"/>
    <col min="6" max="6" width="10.140625" customWidth="1"/>
    <col min="7" max="8" width="11.5703125" bestFit="1" customWidth="1"/>
    <col min="9" max="9" width="12" customWidth="1"/>
    <col min="10" max="10" width="11.42578125" customWidth="1"/>
    <col min="12" max="12" width="13.140625" customWidth="1"/>
  </cols>
  <sheetData>
    <row r="2" spans="1:12">
      <c r="F2" s="2"/>
    </row>
    <row r="3" spans="1:12" ht="51.75">
      <c r="A3" s="19" t="s">
        <v>48</v>
      </c>
      <c r="B3" s="3"/>
      <c r="C3" s="3" t="s">
        <v>0</v>
      </c>
      <c r="D3" s="4" t="s">
        <v>1</v>
      </c>
      <c r="E3" s="4" t="s">
        <v>2</v>
      </c>
      <c r="F3" s="5" t="s">
        <v>3</v>
      </c>
      <c r="G3" s="26" t="s">
        <v>53</v>
      </c>
      <c r="H3" s="26" t="s">
        <v>54</v>
      </c>
      <c r="I3" s="26" t="s">
        <v>52</v>
      </c>
      <c r="J3" s="26" t="s">
        <v>47</v>
      </c>
      <c r="K3" s="26" t="s">
        <v>82</v>
      </c>
      <c r="L3" s="26" t="s">
        <v>83</v>
      </c>
    </row>
    <row r="4" spans="1:12">
      <c r="D4" s="2"/>
      <c r="E4" s="2"/>
    </row>
    <row r="5" spans="1:12">
      <c r="A5" s="10">
        <v>1</v>
      </c>
      <c r="B5" s="10"/>
      <c r="C5" s="6" t="s">
        <v>4</v>
      </c>
      <c r="D5" s="1" t="s">
        <v>5</v>
      </c>
      <c r="E5" s="7" t="s">
        <v>26</v>
      </c>
      <c r="F5" s="8">
        <v>2010</v>
      </c>
      <c r="G5" s="16">
        <v>30855.259027289678</v>
      </c>
      <c r="H5" s="16">
        <v>33797.862003739152</v>
      </c>
      <c r="I5" s="17">
        <f>+G5-H5</f>
        <v>-2942.6029764494742</v>
      </c>
      <c r="J5" s="16">
        <f>+I5/365*209</f>
        <v>-1684.9425262409318</v>
      </c>
      <c r="K5" s="16">
        <f>+J5/$J$25*$K$25</f>
        <v>-141.9740891006679</v>
      </c>
      <c r="L5" s="17">
        <f>+J5+K5</f>
        <v>-1826.9166153415997</v>
      </c>
    </row>
    <row r="6" spans="1:12">
      <c r="A6" s="10">
        <v>2</v>
      </c>
      <c r="B6" s="10"/>
      <c r="C6" s="6" t="s">
        <v>6</v>
      </c>
      <c r="D6" s="1" t="s">
        <v>5</v>
      </c>
      <c r="E6" s="7" t="s">
        <v>27</v>
      </c>
      <c r="F6" s="8">
        <v>2010</v>
      </c>
      <c r="G6" s="16">
        <v>42000.907613679512</v>
      </c>
      <c r="H6" s="16">
        <v>45960.725055185445</v>
      </c>
      <c r="I6" s="17">
        <f t="shared" ref="I6:I22" si="0">+G6-H6</f>
        <v>-3959.8174415059329</v>
      </c>
      <c r="J6" s="16">
        <f t="shared" ref="J6:J23" si="1">+I6/365*209</f>
        <v>-2267.4023158212053</v>
      </c>
      <c r="K6" s="16">
        <f t="shared" ref="K6:K22" si="2">+J6/$J$25*$K$25</f>
        <v>-191.05243852538976</v>
      </c>
      <c r="L6" s="17">
        <f t="shared" ref="L6:L22" si="3">+J6+K6</f>
        <v>-2458.4547543465951</v>
      </c>
    </row>
    <row r="7" spans="1:12">
      <c r="A7" s="10">
        <v>3</v>
      </c>
      <c r="B7" s="10"/>
      <c r="C7" s="6" t="s">
        <v>7</v>
      </c>
      <c r="D7" s="1" t="s">
        <v>5</v>
      </c>
      <c r="E7" s="7" t="s">
        <v>28</v>
      </c>
      <c r="F7" s="8">
        <v>2011</v>
      </c>
      <c r="G7" s="16">
        <v>26623.77144029225</v>
      </c>
      <c r="H7" s="16">
        <v>29162.659291889737</v>
      </c>
      <c r="I7" s="17">
        <f t="shared" si="0"/>
        <v>-2538.8878515974866</v>
      </c>
      <c r="J7" s="16">
        <f t="shared" si="1"/>
        <v>-1453.7741396818485</v>
      </c>
      <c r="K7" s="16">
        <f t="shared" si="2"/>
        <v>-122.49572672363334</v>
      </c>
      <c r="L7" s="17">
        <f t="shared" si="3"/>
        <v>-1576.2698664054819</v>
      </c>
    </row>
    <row r="8" spans="1:12">
      <c r="A8" s="10">
        <v>4</v>
      </c>
      <c r="B8" s="10"/>
      <c r="C8" s="6" t="s">
        <v>8</v>
      </c>
      <c r="D8" s="1" t="s">
        <v>5</v>
      </c>
      <c r="E8" s="7" t="s">
        <v>29</v>
      </c>
      <c r="F8" s="8">
        <v>2011</v>
      </c>
      <c r="G8" s="16">
        <v>464728.69885891158</v>
      </c>
      <c r="H8" s="16">
        <v>509957.16401699703</v>
      </c>
      <c r="I8" s="17">
        <f t="shared" si="0"/>
        <v>-45228.465158085455</v>
      </c>
      <c r="J8" s="16">
        <f t="shared" si="1"/>
        <v>-25897.943063122904</v>
      </c>
      <c r="K8" s="16">
        <f t="shared" si="2"/>
        <v>-2182.1734680593372</v>
      </c>
      <c r="L8" s="17">
        <f t="shared" si="3"/>
        <v>-28080.116531182241</v>
      </c>
    </row>
    <row r="9" spans="1:12">
      <c r="A9" s="10">
        <v>5</v>
      </c>
      <c r="C9" s="6" t="s">
        <v>9</v>
      </c>
      <c r="D9" s="1" t="s">
        <v>5</v>
      </c>
      <c r="E9" s="7" t="s">
        <v>30</v>
      </c>
      <c r="F9" s="8">
        <v>2012</v>
      </c>
      <c r="G9" s="16">
        <v>0</v>
      </c>
      <c r="H9" s="16">
        <v>0</v>
      </c>
      <c r="I9" s="17">
        <f t="shared" si="0"/>
        <v>0</v>
      </c>
      <c r="J9" s="16">
        <f t="shared" si="1"/>
        <v>0</v>
      </c>
      <c r="K9" s="16">
        <f t="shared" si="2"/>
        <v>0</v>
      </c>
      <c r="L9" s="17">
        <f t="shared" si="3"/>
        <v>0</v>
      </c>
    </row>
    <row r="10" spans="1:12">
      <c r="A10" s="10">
        <v>6</v>
      </c>
      <c r="C10" s="6" t="s">
        <v>10</v>
      </c>
      <c r="D10" s="1" t="s">
        <v>5</v>
      </c>
      <c r="E10" s="7" t="s">
        <v>31</v>
      </c>
      <c r="F10" s="8">
        <v>2013</v>
      </c>
      <c r="G10" s="16">
        <v>1283317.494387659</v>
      </c>
      <c r="H10" s="16">
        <v>1407634.5354513163</v>
      </c>
      <c r="I10" s="17">
        <f t="shared" si="0"/>
        <v>-124317.04106365726</v>
      </c>
      <c r="J10" s="16">
        <f t="shared" si="1"/>
        <v>-71184.278307683198</v>
      </c>
      <c r="K10" s="16">
        <f t="shared" si="2"/>
        <v>-5998.0224331857362</v>
      </c>
      <c r="L10" s="17">
        <f t="shared" si="3"/>
        <v>-77182.30074086893</v>
      </c>
    </row>
    <row r="11" spans="1:12">
      <c r="A11" s="10">
        <v>7</v>
      </c>
      <c r="C11" s="6" t="s">
        <v>11</v>
      </c>
      <c r="D11" s="1" t="s">
        <v>5</v>
      </c>
      <c r="E11" s="7" t="s">
        <v>32</v>
      </c>
      <c r="F11" s="8">
        <v>2014</v>
      </c>
      <c r="G11" s="16">
        <v>458211.65336437046</v>
      </c>
      <c r="H11" s="16">
        <v>502625.42970534775</v>
      </c>
      <c r="I11" s="17">
        <f t="shared" si="0"/>
        <v>-44413.776340977289</v>
      </c>
      <c r="J11" s="16">
        <f t="shared" si="1"/>
        <v>-25431.450014422611</v>
      </c>
      <c r="K11" s="16">
        <f t="shared" si="2"/>
        <v>-2142.8665334728057</v>
      </c>
      <c r="L11" s="17">
        <f t="shared" si="3"/>
        <v>-27574.316547895418</v>
      </c>
    </row>
    <row r="12" spans="1:12">
      <c r="A12" s="10">
        <v>8</v>
      </c>
      <c r="C12" s="6" t="s">
        <v>12</v>
      </c>
      <c r="D12" s="1" t="s">
        <v>5</v>
      </c>
      <c r="E12" s="7" t="s">
        <v>33</v>
      </c>
      <c r="F12" s="8">
        <v>2014</v>
      </c>
      <c r="G12" s="16">
        <v>84595.821203118816</v>
      </c>
      <c r="H12" s="16">
        <v>92698.515836858845</v>
      </c>
      <c r="I12" s="17">
        <f t="shared" si="0"/>
        <v>-8102.6946337400295</v>
      </c>
      <c r="J12" s="16">
        <f t="shared" si="1"/>
        <v>-4639.6251464429215</v>
      </c>
      <c r="K12" s="16">
        <f t="shared" si="2"/>
        <v>-390.93710537673104</v>
      </c>
      <c r="L12" s="17">
        <f t="shared" si="3"/>
        <v>-5030.5622518196524</v>
      </c>
    </row>
    <row r="13" spans="1:12">
      <c r="A13" s="10">
        <v>9</v>
      </c>
      <c r="C13" s="9" t="s">
        <v>13</v>
      </c>
      <c r="D13" s="1" t="s">
        <v>5</v>
      </c>
      <c r="E13" s="7" t="s">
        <v>34</v>
      </c>
      <c r="F13" s="8">
        <v>2015</v>
      </c>
      <c r="G13" s="16">
        <v>387825.84292105585</v>
      </c>
      <c r="H13" s="16">
        <v>425712.80414474726</v>
      </c>
      <c r="I13" s="17">
        <f t="shared" si="0"/>
        <v>-37886.961223691411</v>
      </c>
      <c r="J13" s="16">
        <f t="shared" si="1"/>
        <v>-21694.177796579464</v>
      </c>
      <c r="K13" s="16">
        <f t="shared" si="2"/>
        <v>-1827.9621313426862</v>
      </c>
      <c r="L13" s="17">
        <f t="shared" si="3"/>
        <v>-23522.139927922151</v>
      </c>
    </row>
    <row r="14" spans="1:12">
      <c r="A14" s="10">
        <v>10</v>
      </c>
      <c r="C14" s="9" t="s">
        <v>14</v>
      </c>
      <c r="D14" s="1" t="s">
        <v>5</v>
      </c>
      <c r="E14" s="7" t="s">
        <v>35</v>
      </c>
      <c r="F14" s="8">
        <v>2013</v>
      </c>
      <c r="G14" s="16">
        <v>342710.8295625709</v>
      </c>
      <c r="H14" s="16">
        <v>374125.9356799266</v>
      </c>
      <c r="I14" s="17">
        <f t="shared" si="0"/>
        <v>-31415.106117355695</v>
      </c>
      <c r="J14" s="16">
        <f t="shared" si="1"/>
        <v>-17988.375831581754</v>
      </c>
      <c r="K14" s="16">
        <f t="shared" si="2"/>
        <v>-1515.7094282538787</v>
      </c>
      <c r="L14" s="17">
        <f t="shared" si="3"/>
        <v>-19504.085259835632</v>
      </c>
    </row>
    <row r="15" spans="1:12">
      <c r="A15" s="10">
        <v>11</v>
      </c>
      <c r="C15" s="9" t="s">
        <v>15</v>
      </c>
      <c r="D15" s="1" t="s">
        <v>5</v>
      </c>
      <c r="E15" s="7" t="s">
        <v>36</v>
      </c>
      <c r="F15" s="8">
        <v>2014</v>
      </c>
      <c r="G15" s="16">
        <v>918503.13332271145</v>
      </c>
      <c r="H15" s="16">
        <v>1007439.2727867414</v>
      </c>
      <c r="I15" s="17">
        <f t="shared" si="0"/>
        <v>-88936.139464029926</v>
      </c>
      <c r="J15" s="16">
        <f t="shared" si="1"/>
        <v>-50925.077117759603</v>
      </c>
      <c r="K15" s="16">
        <f t="shared" si="2"/>
        <v>-4290.9721391537569</v>
      </c>
      <c r="L15" s="17">
        <f t="shared" si="3"/>
        <v>-55216.049256913364</v>
      </c>
    </row>
    <row r="16" spans="1:12">
      <c r="A16" s="10">
        <v>12</v>
      </c>
      <c r="C16" s="9" t="s">
        <v>16</v>
      </c>
      <c r="D16" s="1" t="s">
        <v>5</v>
      </c>
      <c r="E16" s="7" t="s">
        <v>37</v>
      </c>
      <c r="F16" s="8">
        <v>2013</v>
      </c>
      <c r="G16" s="16">
        <v>634435.50772353658</v>
      </c>
      <c r="H16" s="16">
        <v>692110.15156958369</v>
      </c>
      <c r="I16" s="17">
        <f t="shared" si="0"/>
        <v>-57674.643846047111</v>
      </c>
      <c r="J16" s="16">
        <f t="shared" si="1"/>
        <v>-33024.659078969438</v>
      </c>
      <c r="K16" s="16">
        <f t="shared" si="2"/>
        <v>-2782.6740779443971</v>
      </c>
      <c r="L16" s="17">
        <f t="shared" si="3"/>
        <v>-35807.333156913839</v>
      </c>
    </row>
    <row r="17" spans="1:12">
      <c r="A17" s="10">
        <v>13</v>
      </c>
      <c r="C17" s="9" t="s">
        <v>17</v>
      </c>
      <c r="D17" s="1" t="s">
        <v>5</v>
      </c>
      <c r="E17" s="7" t="s">
        <v>38</v>
      </c>
      <c r="F17" s="8">
        <v>2013</v>
      </c>
      <c r="G17" s="16">
        <v>253889.99714762674</v>
      </c>
      <c r="H17" s="16">
        <v>274553.39413953049</v>
      </c>
      <c r="I17" s="17">
        <f t="shared" si="0"/>
        <v>-20663.396991903748</v>
      </c>
      <c r="J17" s="16">
        <f t="shared" si="1"/>
        <v>-11831.917729610639</v>
      </c>
      <c r="K17" s="16">
        <f t="shared" si="2"/>
        <v>-996.96322919878207</v>
      </c>
      <c r="L17" s="17">
        <f t="shared" si="3"/>
        <v>-12828.880958809421</v>
      </c>
    </row>
    <row r="18" spans="1:12">
      <c r="A18" s="10">
        <v>14</v>
      </c>
      <c r="C18" s="9" t="s">
        <v>18</v>
      </c>
      <c r="D18" s="1" t="s">
        <v>5</v>
      </c>
      <c r="E18" s="7" t="s">
        <v>39</v>
      </c>
      <c r="F18" s="8">
        <v>2016</v>
      </c>
      <c r="G18" s="16">
        <v>3648859.1253766418</v>
      </c>
      <c r="H18" s="16">
        <v>3945262.874711914</v>
      </c>
      <c r="I18" s="17">
        <f t="shared" si="0"/>
        <v>-296403.74933527224</v>
      </c>
      <c r="J18" s="16">
        <f t="shared" si="1"/>
        <v>-169721.59893444355</v>
      </c>
      <c r="K18" s="16">
        <f t="shared" si="2"/>
        <v>-14300.825716105752</v>
      </c>
      <c r="L18" s="17">
        <f t="shared" si="3"/>
        <v>-184022.42465054931</v>
      </c>
    </row>
    <row r="19" spans="1:12">
      <c r="A19" s="10">
        <v>15</v>
      </c>
      <c r="C19" s="9" t="s">
        <v>19</v>
      </c>
      <c r="D19" s="1" t="s">
        <v>5</v>
      </c>
      <c r="E19" s="7" t="s">
        <v>40</v>
      </c>
      <c r="F19" s="8">
        <v>2017</v>
      </c>
      <c r="G19" s="16">
        <v>267373.74483045732</v>
      </c>
      <c r="H19" s="16">
        <v>292534.81898308638</v>
      </c>
      <c r="I19" s="17">
        <f t="shared" si="0"/>
        <v>-25161.074152629066</v>
      </c>
      <c r="J19" s="16">
        <f t="shared" si="1"/>
        <v>-14407.299994245137</v>
      </c>
      <c r="K19" s="16">
        <f t="shared" si="2"/>
        <v>-1213.9662102578613</v>
      </c>
      <c r="L19" s="17">
        <f t="shared" si="3"/>
        <v>-15621.266204502997</v>
      </c>
    </row>
    <row r="20" spans="1:12">
      <c r="A20" s="10">
        <v>16</v>
      </c>
      <c r="C20" s="9" t="s">
        <v>20</v>
      </c>
      <c r="D20" s="1" t="s">
        <v>5</v>
      </c>
      <c r="E20" s="7" t="s">
        <v>41</v>
      </c>
      <c r="F20" s="8">
        <v>2017</v>
      </c>
      <c r="G20" s="16">
        <v>239476.88691047963</v>
      </c>
      <c r="H20" s="16">
        <v>261197.95640861534</v>
      </c>
      <c r="I20" s="17">
        <f t="shared" si="0"/>
        <v>-21721.069498135708</v>
      </c>
      <c r="J20" s="16">
        <f t="shared" si="1"/>
        <v>-12437.543904411954</v>
      </c>
      <c r="K20" s="16">
        <f t="shared" si="2"/>
        <v>-1047.9935896792463</v>
      </c>
      <c r="L20" s="17">
        <f t="shared" si="3"/>
        <v>-13485.537494091201</v>
      </c>
    </row>
    <row r="21" spans="1:12">
      <c r="A21" s="10">
        <v>17</v>
      </c>
      <c r="C21" s="9" t="s">
        <v>21</v>
      </c>
      <c r="D21" s="1" t="s">
        <v>5</v>
      </c>
      <c r="E21" s="7" t="s">
        <v>42</v>
      </c>
      <c r="F21" s="8">
        <v>2017</v>
      </c>
      <c r="G21" s="16">
        <v>1673034.9840761819</v>
      </c>
      <c r="H21" s="16">
        <v>1882580.0260546892</v>
      </c>
      <c r="I21" s="17">
        <f t="shared" si="0"/>
        <v>-209545.0419785073</v>
      </c>
      <c r="J21" s="16">
        <f t="shared" si="1"/>
        <v>-119986.0651328987</v>
      </c>
      <c r="K21" s="16">
        <f t="shared" si="2"/>
        <v>-10110.085084042126</v>
      </c>
      <c r="L21" s="17">
        <f t="shared" si="3"/>
        <v>-130096.15021694082</v>
      </c>
    </row>
    <row r="22" spans="1:12">
      <c r="A22" s="10">
        <v>18</v>
      </c>
      <c r="C22" s="9" t="s">
        <v>22</v>
      </c>
      <c r="D22" s="1" t="s">
        <v>5</v>
      </c>
      <c r="E22" s="7" t="s">
        <v>43</v>
      </c>
      <c r="F22" s="8">
        <v>2018</v>
      </c>
      <c r="G22" s="16">
        <v>0</v>
      </c>
      <c r="H22" s="16">
        <v>0</v>
      </c>
      <c r="I22" s="17">
        <f t="shared" si="0"/>
        <v>0</v>
      </c>
      <c r="J22" s="16">
        <f t="shared" si="1"/>
        <v>0</v>
      </c>
      <c r="K22" s="16">
        <f t="shared" si="2"/>
        <v>0</v>
      </c>
      <c r="L22" s="17">
        <f t="shared" si="3"/>
        <v>0</v>
      </c>
    </row>
    <row r="23" spans="1:12">
      <c r="A23" s="10">
        <v>19</v>
      </c>
      <c r="C23" s="9"/>
      <c r="D23" s="1"/>
      <c r="E23" s="7"/>
      <c r="F23" s="8"/>
      <c r="J23" s="16">
        <f t="shared" si="1"/>
        <v>0</v>
      </c>
    </row>
    <row r="24" spans="1:12">
      <c r="A24" s="10"/>
      <c r="C24" s="10"/>
      <c r="D24" s="10"/>
      <c r="E24" s="10"/>
      <c r="F24" s="1"/>
      <c r="G24" s="15"/>
      <c r="H24" s="15"/>
      <c r="I24" s="15"/>
      <c r="J24" s="15"/>
      <c r="K24" s="15"/>
      <c r="L24" s="15"/>
    </row>
    <row r="25" spans="1:12">
      <c r="A25" s="20"/>
      <c r="B25" s="21"/>
      <c r="C25" s="10"/>
      <c r="D25" s="10"/>
      <c r="E25" s="11" t="s">
        <v>24</v>
      </c>
      <c r="F25" s="12"/>
      <c r="G25" s="17">
        <f>SUM(G5:G24)</f>
        <v>10756443.657766584</v>
      </c>
      <c r="H25" s="17">
        <f>SUM(H5:H24)</f>
        <v>11777354.125840167</v>
      </c>
      <c r="I25" s="17">
        <f>SUM(I5:I24)</f>
        <v>-1020910.4680735851</v>
      </c>
      <c r="J25" s="17">
        <f>SUM(J5:J24)</f>
        <v>-584576.13103391591</v>
      </c>
      <c r="K25" s="17">
        <f>+'2017 Interest Calculation'!P74</f>
        <v>-49256.673400422791</v>
      </c>
      <c r="L25" s="17">
        <f>SUM(L5:L23)</f>
        <v>-633832.80443433858</v>
      </c>
    </row>
    <row r="26" spans="1:12">
      <c r="A26" s="10"/>
    </row>
    <row r="27" spans="1:12">
      <c r="A27" s="10"/>
    </row>
    <row r="28" spans="1:12">
      <c r="A28" s="10">
        <v>20</v>
      </c>
      <c r="C28" s="6" t="s">
        <v>49</v>
      </c>
      <c r="D28" s="1" t="s">
        <v>50</v>
      </c>
      <c r="E28" s="7"/>
      <c r="F28" s="8"/>
    </row>
    <row r="29" spans="1:12">
      <c r="A29" s="10"/>
      <c r="C29" s="10"/>
      <c r="D29" s="10"/>
      <c r="E29" s="10"/>
      <c r="F29" s="1"/>
    </row>
    <row r="30" spans="1:12">
      <c r="A30" s="13">
        <v>21</v>
      </c>
      <c r="B30" s="21"/>
      <c r="C30" s="20"/>
      <c r="D30" s="20"/>
      <c r="E30" s="22" t="s">
        <v>51</v>
      </c>
      <c r="F30" s="24"/>
    </row>
    <row r="31" spans="1:12">
      <c r="A31" s="10"/>
      <c r="C31" s="10"/>
      <c r="D31" s="10"/>
      <c r="E31" s="13"/>
      <c r="F31" s="10"/>
    </row>
    <row r="32" spans="1:12">
      <c r="A32" s="10"/>
      <c r="C32" s="10"/>
      <c r="D32" s="10"/>
      <c r="E32" s="14" t="s">
        <v>25</v>
      </c>
      <c r="F32" s="10"/>
    </row>
    <row r="38" spans="3:6">
      <c r="C38" s="10"/>
      <c r="D38" s="10"/>
      <c r="E38" s="23"/>
      <c r="F38" s="25"/>
    </row>
  </sheetData>
  <pageMargins left="0.45" right="0.2" top="0.75" bottom="0.75" header="0.3" footer="0.3"/>
  <pageSetup scale="8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workbookViewId="0">
      <selection activeCell="A2" sqref="A2"/>
    </sheetView>
  </sheetViews>
  <sheetFormatPr defaultColWidth="9.140625" defaultRowHeight="12.75"/>
  <cols>
    <col min="1" max="1" width="1.7109375" style="29" customWidth="1"/>
    <col min="2" max="2" width="25.140625" style="29" customWidth="1"/>
    <col min="3" max="3" width="1.7109375" style="29" customWidth="1"/>
    <col min="4" max="4" width="21.28515625" style="29" customWidth="1"/>
    <col min="5" max="5" width="1.7109375" style="29" customWidth="1"/>
    <col min="6" max="6" width="22.28515625" style="29" customWidth="1"/>
    <col min="7" max="7" width="1.7109375" style="29" customWidth="1"/>
    <col min="8" max="8" width="17.28515625" style="29" customWidth="1"/>
    <col min="9" max="9" width="1.7109375" style="29" customWidth="1"/>
    <col min="10" max="10" width="15.5703125" style="29" customWidth="1"/>
    <col min="11" max="11" width="1.7109375" style="29" customWidth="1"/>
    <col min="12" max="12" width="15.85546875" style="29" customWidth="1"/>
    <col min="13" max="13" width="1.7109375" style="29" customWidth="1"/>
    <col min="14" max="14" width="13.5703125" style="29" customWidth="1"/>
    <col min="15" max="15" width="1.7109375" style="29" customWidth="1"/>
    <col min="16" max="16" width="14.140625" style="29" customWidth="1"/>
    <col min="17" max="17" width="1.7109375" style="29" customWidth="1"/>
    <col min="18" max="18" width="14.42578125" style="29" customWidth="1"/>
    <col min="19" max="19" width="7.7109375" style="29" bestFit="1" customWidth="1"/>
    <col min="20" max="20" width="6.140625" style="29" customWidth="1"/>
    <col min="21" max="16384" width="9.140625" style="29"/>
  </cols>
  <sheetData>
    <row r="1" spans="1:18" ht="15">
      <c r="A1" s="28"/>
    </row>
    <row r="2" spans="1:18" ht="15.75">
      <c r="A2" s="30"/>
    </row>
    <row r="3" spans="1:18" ht="15.75">
      <c r="A3" s="30"/>
    </row>
    <row r="4" spans="1:18" ht="15.75">
      <c r="B4" s="104" t="s">
        <v>55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8" ht="15.75">
      <c r="B5" s="105" t="s">
        <v>81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15.75">
      <c r="B6" s="106" t="s">
        <v>56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</row>
    <row r="7" spans="1:18" ht="16.5" thickBot="1">
      <c r="B7" s="31"/>
      <c r="C7" s="32"/>
      <c r="D7" s="32"/>
      <c r="E7" s="32"/>
      <c r="F7" s="32"/>
      <c r="G7" s="32"/>
      <c r="H7" s="32"/>
      <c r="I7" s="32"/>
      <c r="J7" s="32"/>
      <c r="K7" s="32"/>
      <c r="P7" s="32"/>
      <c r="Q7" s="32"/>
      <c r="R7" s="32"/>
    </row>
    <row r="8" spans="1:18" ht="60.75" customHeight="1">
      <c r="B8" s="31"/>
      <c r="C8" s="31"/>
      <c r="D8" s="31"/>
      <c r="E8" s="33"/>
      <c r="F8" s="34" t="s">
        <v>57</v>
      </c>
      <c r="G8" s="35"/>
      <c r="H8" s="36" t="s">
        <v>58</v>
      </c>
      <c r="I8" s="32"/>
      <c r="J8" s="37">
        <v>2017</v>
      </c>
      <c r="K8" s="32"/>
      <c r="P8" s="35"/>
      <c r="Q8" s="35"/>
      <c r="R8" s="35"/>
    </row>
    <row r="9" spans="1:18" ht="15.75">
      <c r="B9" s="31"/>
      <c r="C9" s="31"/>
      <c r="D9" s="31"/>
      <c r="E9" s="33"/>
      <c r="F9" s="38"/>
      <c r="G9" s="35"/>
      <c r="H9" s="39" t="s">
        <v>60</v>
      </c>
      <c r="I9" s="40"/>
      <c r="J9" s="41">
        <f>J8+1</f>
        <v>2018</v>
      </c>
      <c r="P9" s="35"/>
      <c r="Q9" s="35"/>
      <c r="R9" s="35"/>
    </row>
    <row r="10" spans="1:18" ht="16.5" thickBot="1">
      <c r="B10" s="31"/>
      <c r="C10" s="31"/>
      <c r="D10" s="31"/>
      <c r="E10" s="42"/>
      <c r="F10" s="43">
        <f>+'2017 Refund'!J25</f>
        <v>-584576.13103391591</v>
      </c>
      <c r="G10" s="44"/>
      <c r="H10" s="39" t="s">
        <v>60</v>
      </c>
      <c r="I10" s="40"/>
      <c r="J10" s="41">
        <f>J9+1</f>
        <v>2019</v>
      </c>
      <c r="P10" s="35"/>
      <c r="Q10" s="35"/>
      <c r="R10" s="35"/>
    </row>
    <row r="11" spans="1:18" ht="15.75">
      <c r="B11" s="31"/>
      <c r="C11" s="31"/>
      <c r="D11" s="31"/>
      <c r="E11" s="45"/>
      <c r="F11" s="45"/>
      <c r="G11" s="45"/>
      <c r="H11" s="47" t="s">
        <v>61</v>
      </c>
      <c r="I11" s="45"/>
      <c r="J11" s="48">
        <v>2020</v>
      </c>
      <c r="P11" s="35"/>
      <c r="Q11" s="35"/>
      <c r="R11" s="35"/>
    </row>
    <row r="12" spans="1:18" ht="16.5" thickBot="1">
      <c r="B12" s="49"/>
      <c r="C12" s="50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1"/>
      <c r="O12" s="51"/>
      <c r="P12" s="51"/>
      <c r="Q12" s="51"/>
      <c r="R12" s="51"/>
    </row>
    <row r="13" spans="1:18" ht="15.75">
      <c r="B13" s="52"/>
      <c r="C13" s="46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35"/>
      <c r="O13" s="35"/>
      <c r="P13" s="35"/>
      <c r="Q13" s="35"/>
      <c r="R13" s="35"/>
    </row>
    <row r="14" spans="1:18" ht="63">
      <c r="B14" s="53" t="s">
        <v>62</v>
      </c>
      <c r="C14" s="46"/>
      <c r="D14" s="54" t="s">
        <v>63</v>
      </c>
      <c r="E14" s="54"/>
      <c r="F14" s="54" t="s">
        <v>64</v>
      </c>
      <c r="G14" s="54"/>
      <c r="H14" s="54" t="s">
        <v>65</v>
      </c>
      <c r="I14" s="45"/>
      <c r="J14" s="55" t="s">
        <v>66</v>
      </c>
      <c r="K14" s="45"/>
      <c r="L14" s="54" t="s">
        <v>67</v>
      </c>
      <c r="M14" s="56"/>
      <c r="N14" s="55" t="s">
        <v>68</v>
      </c>
      <c r="O14" s="55"/>
      <c r="P14" s="54" t="s">
        <v>69</v>
      </c>
      <c r="Q14" s="57"/>
      <c r="R14" s="54" t="s">
        <v>70</v>
      </c>
    </row>
    <row r="15" spans="1:18" ht="15.75">
      <c r="B15" s="58"/>
      <c r="C15" s="46"/>
      <c r="D15" s="35"/>
      <c r="E15" s="35"/>
      <c r="F15" s="35"/>
      <c r="G15" s="35"/>
      <c r="H15" s="35"/>
      <c r="I15" s="59"/>
      <c r="J15" s="59"/>
      <c r="K15" s="59"/>
      <c r="N15" s="35"/>
      <c r="O15" s="35"/>
      <c r="P15" s="35"/>
      <c r="Q15" s="35"/>
      <c r="R15" s="35"/>
    </row>
    <row r="16" spans="1:18" ht="15.75">
      <c r="B16" s="60" t="s">
        <v>71</v>
      </c>
      <c r="C16" s="46"/>
      <c r="D16" s="46"/>
      <c r="E16" s="46"/>
      <c r="F16" s="46"/>
      <c r="G16" s="46"/>
      <c r="H16" s="46"/>
      <c r="I16" s="46"/>
      <c r="J16" s="46"/>
      <c r="K16" s="46"/>
      <c r="L16" s="35"/>
      <c r="M16" s="35"/>
      <c r="N16" s="56"/>
      <c r="O16" s="56"/>
      <c r="P16" s="46"/>
      <c r="Q16" s="46"/>
      <c r="R16" s="46"/>
    </row>
    <row r="17" spans="2:20" ht="15.75">
      <c r="B17" s="61" t="s">
        <v>72</v>
      </c>
      <c r="C17" s="46"/>
      <c r="D17" s="46"/>
      <c r="E17" s="46"/>
      <c r="F17" s="46"/>
      <c r="G17" s="46"/>
      <c r="H17" s="46"/>
      <c r="I17" s="46"/>
      <c r="J17" s="46"/>
      <c r="K17" s="46"/>
      <c r="L17" s="35"/>
      <c r="M17" s="35"/>
      <c r="N17" s="56"/>
      <c r="O17" s="56"/>
      <c r="P17" s="46"/>
      <c r="Q17" s="46"/>
      <c r="R17" s="46"/>
    </row>
    <row r="18" spans="2:20" ht="15.75">
      <c r="B18" s="62"/>
      <c r="C18" s="32"/>
      <c r="D18" s="63"/>
      <c r="E18" s="64"/>
      <c r="F18" s="63"/>
      <c r="G18" s="63"/>
      <c r="H18" s="63"/>
      <c r="I18" s="63"/>
      <c r="J18" s="63"/>
      <c r="K18" s="64"/>
      <c r="L18" s="65"/>
      <c r="M18" s="66"/>
      <c r="N18" s="63"/>
      <c r="O18" s="63"/>
      <c r="P18" s="63"/>
      <c r="Q18" s="63"/>
      <c r="R18" s="63"/>
    </row>
    <row r="19" spans="2:20" ht="15.75">
      <c r="B19" s="62"/>
      <c r="C19" s="32"/>
      <c r="D19" s="63"/>
      <c r="E19" s="64"/>
      <c r="F19" s="63"/>
      <c r="G19" s="63"/>
      <c r="H19" s="63"/>
      <c r="I19" s="63"/>
      <c r="J19" s="63"/>
      <c r="K19" s="64"/>
      <c r="L19" s="65"/>
      <c r="M19" s="67"/>
      <c r="N19" s="63"/>
      <c r="O19" s="63"/>
      <c r="P19" s="63"/>
      <c r="Q19" s="63"/>
      <c r="R19" s="63"/>
    </row>
    <row r="20" spans="2:20" ht="15.75">
      <c r="B20" s="62">
        <f>DATE($J$8,T20,5)</f>
        <v>42891</v>
      </c>
      <c r="C20" s="32"/>
      <c r="D20" s="63">
        <f>+F10/209*25</f>
        <v>-69925.374525588035</v>
      </c>
      <c r="E20" s="64"/>
      <c r="F20" s="63">
        <f>D19+F19</f>
        <v>0</v>
      </c>
      <c r="G20" s="63"/>
      <c r="H20" s="63">
        <f>SUM($N$18:$N$18)</f>
        <v>0</v>
      </c>
      <c r="I20" s="63"/>
      <c r="J20" s="63">
        <f t="shared" ref="J20:J25" si="0">F20+H20</f>
        <v>0</v>
      </c>
      <c r="K20" s="64"/>
      <c r="L20" s="65">
        <v>3.0000000000000001E-3</v>
      </c>
      <c r="M20" s="67"/>
      <c r="N20" s="63">
        <f t="shared" ref="N20:N26" si="1">J20*L20</f>
        <v>0</v>
      </c>
      <c r="O20" s="63"/>
      <c r="P20" s="63"/>
      <c r="Q20" s="63"/>
      <c r="R20" s="63">
        <f>SUM($D$18:D20)+SUM($N$18:N20)</f>
        <v>-69925.374525588035</v>
      </c>
      <c r="T20" s="29">
        <v>6</v>
      </c>
    </row>
    <row r="21" spans="2:20" ht="15.75">
      <c r="B21" s="62">
        <f t="shared" ref="B21:B26" si="2">DATE($J$8,T21,1)</f>
        <v>42917</v>
      </c>
      <c r="C21" s="32"/>
      <c r="D21" s="63">
        <f>+$F$10/209*31</f>
        <v>-86707.464411729161</v>
      </c>
      <c r="E21" s="64"/>
      <c r="F21" s="63">
        <f t="shared" ref="F21:F24" si="3">D20+F20</f>
        <v>-69925.374525588035</v>
      </c>
      <c r="G21" s="63"/>
      <c r="H21" s="63">
        <f>$H$20+SUM($N$19:$N$20)</f>
        <v>0</v>
      </c>
      <c r="I21" s="63"/>
      <c r="J21" s="63">
        <f t="shared" si="0"/>
        <v>-69925.374525588035</v>
      </c>
      <c r="K21" s="64"/>
      <c r="L21" s="65">
        <v>3.3999999999999998E-3</v>
      </c>
      <c r="M21" s="67"/>
      <c r="N21" s="63">
        <f t="shared" si="1"/>
        <v>-237.74627338699929</v>
      </c>
      <c r="O21" s="63"/>
      <c r="P21" s="63"/>
      <c r="Q21" s="63"/>
      <c r="R21" s="63">
        <f>SUM($D$18:D21)+SUM($N$18:N21)</f>
        <v>-156870.58521070419</v>
      </c>
      <c r="T21" s="29">
        <v>7</v>
      </c>
    </row>
    <row r="22" spans="2:20" ht="15.75">
      <c r="B22" s="62">
        <f t="shared" si="2"/>
        <v>42948</v>
      </c>
      <c r="C22" s="32"/>
      <c r="D22" s="63">
        <f>+$F$10/209*31</f>
        <v>-86707.464411729161</v>
      </c>
      <c r="E22" s="64"/>
      <c r="F22" s="63">
        <f t="shared" si="3"/>
        <v>-156632.8389373172</v>
      </c>
      <c r="G22" s="63"/>
      <c r="H22" s="63">
        <f>$H$20+SUM($N$19:$N$20)</f>
        <v>0</v>
      </c>
      <c r="I22" s="63"/>
      <c r="J22" s="63">
        <f t="shared" si="0"/>
        <v>-156632.8389373172</v>
      </c>
      <c r="K22" s="64"/>
      <c r="L22" s="65">
        <v>3.3999999999999998E-3</v>
      </c>
      <c r="M22" s="67"/>
      <c r="N22" s="63">
        <f t="shared" si="1"/>
        <v>-532.55165238687846</v>
      </c>
      <c r="O22" s="63"/>
      <c r="P22" s="63"/>
      <c r="Q22" s="63"/>
      <c r="R22" s="63">
        <f>SUM($D$18:D22)+SUM($N$18:N22)</f>
        <v>-244110.60127482025</v>
      </c>
      <c r="T22" s="29">
        <v>8</v>
      </c>
    </row>
    <row r="23" spans="2:20" ht="15.75">
      <c r="B23" s="62">
        <f t="shared" si="2"/>
        <v>42979</v>
      </c>
      <c r="C23" s="32"/>
      <c r="D23" s="63">
        <f>+$F$10/209*30</f>
        <v>-83910.44943070563</v>
      </c>
      <c r="E23" s="64"/>
      <c r="F23" s="63">
        <f t="shared" si="3"/>
        <v>-243340.30334904636</v>
      </c>
      <c r="G23" s="63"/>
      <c r="H23" s="63">
        <f>$H$20+SUM($N$19:$N$20)</f>
        <v>0</v>
      </c>
      <c r="I23" s="63"/>
      <c r="J23" s="63">
        <f t="shared" si="0"/>
        <v>-243340.30334904636</v>
      </c>
      <c r="K23" s="64"/>
      <c r="L23" s="65">
        <v>3.3E-3</v>
      </c>
      <c r="M23" s="67"/>
      <c r="N23" s="63">
        <f t="shared" si="1"/>
        <v>-803.02300105185293</v>
      </c>
      <c r="O23" s="63"/>
      <c r="P23" s="63"/>
      <c r="Q23" s="63"/>
      <c r="R23" s="63">
        <f>SUM($D$18:D23)+SUM($N$18:N23)</f>
        <v>-328824.07370657776</v>
      </c>
      <c r="T23" s="29">
        <v>9</v>
      </c>
    </row>
    <row r="24" spans="2:20" ht="15.75">
      <c r="B24" s="62">
        <f t="shared" si="2"/>
        <v>43009</v>
      </c>
      <c r="C24" s="32"/>
      <c r="D24" s="63">
        <f>+$F$10/209*31</f>
        <v>-86707.464411729161</v>
      </c>
      <c r="E24" s="64"/>
      <c r="F24" s="63">
        <f t="shared" si="3"/>
        <v>-327250.75277975202</v>
      </c>
      <c r="G24" s="63"/>
      <c r="H24" s="63">
        <f>$H$23+SUM($N$21:$N$23)</f>
        <v>-1573.3209268257306</v>
      </c>
      <c r="I24" s="63"/>
      <c r="J24" s="63">
        <f t="shared" si="0"/>
        <v>-328824.07370657776</v>
      </c>
      <c r="K24" s="64"/>
      <c r="L24" s="65">
        <v>3.5999999999999999E-3</v>
      </c>
      <c r="M24" s="67"/>
      <c r="N24" s="63">
        <f t="shared" si="1"/>
        <v>-1183.76666534368</v>
      </c>
      <c r="O24" s="63"/>
      <c r="P24" s="63"/>
      <c r="Q24" s="63"/>
      <c r="R24" s="63">
        <f>SUM($D$18:D24)+SUM($N$18:N24)</f>
        <v>-416715.30478365056</v>
      </c>
      <c r="T24" s="29">
        <v>10</v>
      </c>
    </row>
    <row r="25" spans="2:20" ht="15.75">
      <c r="B25" s="62">
        <f t="shared" si="2"/>
        <v>43040</v>
      </c>
      <c r="C25" s="32"/>
      <c r="D25" s="63">
        <f>+$F$10/209*30</f>
        <v>-83910.44943070563</v>
      </c>
      <c r="E25" s="64"/>
      <c r="F25" s="63">
        <f>D24+F24</f>
        <v>-413958.21719148115</v>
      </c>
      <c r="G25" s="63"/>
      <c r="H25" s="63">
        <f>$H$23+SUM($N$21:$N$23)</f>
        <v>-1573.3209268257306</v>
      </c>
      <c r="I25" s="63"/>
      <c r="J25" s="63">
        <f t="shared" si="0"/>
        <v>-415531.5381183069</v>
      </c>
      <c r="K25" s="64"/>
      <c r="L25" s="65">
        <v>3.5000000000000001E-3</v>
      </c>
      <c r="M25" s="67"/>
      <c r="N25" s="63">
        <f t="shared" si="1"/>
        <v>-1454.3603834140742</v>
      </c>
      <c r="O25" s="63"/>
      <c r="P25" s="63"/>
      <c r="Q25" s="63"/>
      <c r="R25" s="63">
        <f>SUM($D$18:D25)+SUM($N$18:N25)</f>
        <v>-502080.11459777027</v>
      </c>
      <c r="T25" s="29">
        <v>11</v>
      </c>
    </row>
    <row r="26" spans="2:20" ht="15.75">
      <c r="B26" s="62">
        <f t="shared" si="2"/>
        <v>43070</v>
      </c>
      <c r="C26" s="32"/>
      <c r="D26" s="63">
        <f>+$F$10/209*31</f>
        <v>-86707.464411729161</v>
      </c>
      <c r="E26" s="64"/>
      <c r="F26" s="63">
        <f>D25+F25</f>
        <v>-497868.66662218678</v>
      </c>
      <c r="G26" s="63"/>
      <c r="H26" s="63">
        <f>$H$23+SUM($N$21:$N$23)</f>
        <v>-1573.3209268257306</v>
      </c>
      <c r="I26" s="63"/>
      <c r="J26" s="63">
        <f>F26+H26</f>
        <v>-499441.98754901253</v>
      </c>
      <c r="K26" s="64"/>
      <c r="L26" s="65">
        <v>3.5999999999999999E-3</v>
      </c>
      <c r="M26" s="67"/>
      <c r="N26" s="63">
        <f t="shared" si="1"/>
        <v>-1797.9911551764451</v>
      </c>
      <c r="O26" s="68"/>
      <c r="P26" s="63"/>
      <c r="Q26" s="63"/>
      <c r="R26" s="63">
        <f>SUM($D$18:D26)+SUM($N$18:N26)</f>
        <v>-590585.57016467582</v>
      </c>
      <c r="T26" s="29">
        <v>12</v>
      </c>
    </row>
    <row r="27" spans="2:20" ht="15.75">
      <c r="B27" s="32"/>
      <c r="C27" s="32"/>
      <c r="D27" s="63"/>
      <c r="E27" s="64"/>
      <c r="F27" s="63"/>
      <c r="G27" s="63"/>
      <c r="H27" s="63"/>
      <c r="I27" s="63"/>
      <c r="J27" s="63"/>
      <c r="K27" s="64"/>
      <c r="L27" s="69"/>
      <c r="M27" s="70"/>
      <c r="N27" s="68"/>
      <c r="O27" s="68"/>
      <c r="P27" s="63"/>
      <c r="Q27" s="63"/>
      <c r="R27" s="71"/>
    </row>
    <row r="28" spans="2:20" ht="15.75">
      <c r="B28" s="61" t="s">
        <v>73</v>
      </c>
      <c r="C28" s="32"/>
      <c r="D28" s="63"/>
      <c r="E28" s="64"/>
      <c r="F28" s="63"/>
      <c r="G28" s="63"/>
      <c r="H28" s="63"/>
      <c r="I28" s="63"/>
      <c r="J28" s="63"/>
      <c r="K28" s="64"/>
      <c r="L28" s="46"/>
      <c r="M28" s="32"/>
      <c r="N28" s="63"/>
      <c r="O28" s="63"/>
      <c r="P28" s="63" t="s">
        <v>59</v>
      </c>
      <c r="Q28" s="63"/>
      <c r="R28" s="72"/>
    </row>
    <row r="29" spans="2:20" ht="15.75">
      <c r="B29" s="62">
        <f t="shared" ref="B29:B40" si="4">DATE($J$9,T29,1)</f>
        <v>43101</v>
      </c>
      <c r="C29" s="32"/>
      <c r="D29" s="63">
        <v>0</v>
      </c>
      <c r="E29" s="64"/>
      <c r="F29" s="63">
        <f>D26+F26</f>
        <v>-584576.13103391591</v>
      </c>
      <c r="G29" s="63"/>
      <c r="H29" s="63">
        <f>$H$26+SUM($N$24:$N$26)</f>
        <v>-6009.4391307599299</v>
      </c>
      <c r="I29" s="63"/>
      <c r="J29" s="63">
        <f>F29+H29</f>
        <v>-590585.57016467582</v>
      </c>
      <c r="K29" s="64"/>
      <c r="L29" s="65">
        <v>3.5999999999999999E-3</v>
      </c>
      <c r="M29" s="66"/>
      <c r="N29" s="63">
        <f t="shared" ref="N29:N40" si="5">J29*L29</f>
        <v>-2126.1080525928328</v>
      </c>
      <c r="O29" s="63"/>
      <c r="P29" s="63"/>
      <c r="Q29" s="63"/>
      <c r="R29" s="63">
        <f>SUM($D$18:D29)+SUM($N$18:N29)</f>
        <v>-592711.67821726867</v>
      </c>
      <c r="T29" s="29">
        <v>1</v>
      </c>
    </row>
    <row r="30" spans="2:20" ht="15.75">
      <c r="B30" s="62">
        <f t="shared" si="4"/>
        <v>43132</v>
      </c>
      <c r="C30" s="32"/>
      <c r="D30" s="63">
        <v>0</v>
      </c>
      <c r="E30" s="64"/>
      <c r="F30" s="63">
        <f>D29+F29</f>
        <v>-584576.13103391591</v>
      </c>
      <c r="G30" s="63"/>
      <c r="H30" s="63">
        <f>$H$26+SUM($N$24:$N$26)</f>
        <v>-6009.4391307599299</v>
      </c>
      <c r="I30" s="63"/>
      <c r="J30" s="63">
        <f>F30+H30</f>
        <v>-590585.57016467582</v>
      </c>
      <c r="K30" s="64"/>
      <c r="L30" s="65">
        <v>3.3E-3</v>
      </c>
      <c r="M30" s="67"/>
      <c r="N30" s="63">
        <f t="shared" si="5"/>
        <v>-1948.9323815434302</v>
      </c>
      <c r="O30" s="63"/>
      <c r="P30" s="63"/>
      <c r="Q30" s="63"/>
      <c r="R30" s="63">
        <f>SUM($D$18:D30)+SUM($N$18:N30)</f>
        <v>-594660.61059881211</v>
      </c>
      <c r="T30" s="29">
        <v>2</v>
      </c>
    </row>
    <row r="31" spans="2:20" ht="15.75">
      <c r="B31" s="62">
        <f t="shared" si="4"/>
        <v>43160</v>
      </c>
      <c r="C31" s="32"/>
      <c r="D31" s="63">
        <v>0</v>
      </c>
      <c r="E31" s="64"/>
      <c r="F31" s="63">
        <f t="shared" ref="F31:F39" si="6">D30+F30</f>
        <v>-584576.13103391591</v>
      </c>
      <c r="G31" s="63"/>
      <c r="H31" s="63">
        <f>$H$26+SUM($N$24:$N$26)</f>
        <v>-6009.4391307599299</v>
      </c>
      <c r="I31" s="63"/>
      <c r="J31" s="63">
        <f t="shared" ref="J31:J37" si="7">F31+H31</f>
        <v>-590585.57016467582</v>
      </c>
      <c r="K31" s="64"/>
      <c r="L31" s="65">
        <v>3.5999999999999999E-3</v>
      </c>
      <c r="M31" s="67"/>
      <c r="N31" s="63">
        <f t="shared" si="5"/>
        <v>-2126.1080525928328</v>
      </c>
      <c r="O31" s="63"/>
      <c r="P31" s="63"/>
      <c r="Q31" s="63"/>
      <c r="R31" s="63">
        <f>SUM($D$18:D31)+SUM($N$18:N31)</f>
        <v>-596786.71865140495</v>
      </c>
      <c r="T31" s="29">
        <v>3</v>
      </c>
    </row>
    <row r="32" spans="2:20" ht="15.75">
      <c r="B32" s="62">
        <f t="shared" si="4"/>
        <v>43191</v>
      </c>
      <c r="C32" s="32"/>
      <c r="D32" s="63">
        <v>0</v>
      </c>
      <c r="E32" s="64"/>
      <c r="F32" s="63">
        <f t="shared" si="6"/>
        <v>-584576.13103391591</v>
      </c>
      <c r="G32" s="63"/>
      <c r="H32" s="63">
        <f>$H$31+SUM($N$29:$N$31)</f>
        <v>-12210.587617489025</v>
      </c>
      <c r="I32" s="63"/>
      <c r="J32" s="63">
        <f>F32+H32</f>
        <v>-596786.71865140495</v>
      </c>
      <c r="K32" s="64"/>
      <c r="L32" s="65">
        <v>3.7000000000000002E-3</v>
      </c>
      <c r="M32" s="67"/>
      <c r="N32" s="63">
        <f t="shared" si="5"/>
        <v>-2208.1108590101985</v>
      </c>
      <c r="O32" s="63"/>
      <c r="P32" s="63"/>
      <c r="Q32" s="63"/>
      <c r="R32" s="63">
        <f>SUM($D$18:D32)+SUM($N$18:N32)</f>
        <v>-598994.82951041509</v>
      </c>
      <c r="T32" s="29">
        <v>4</v>
      </c>
    </row>
    <row r="33" spans="2:20" ht="15.75">
      <c r="B33" s="62">
        <f t="shared" si="4"/>
        <v>43221</v>
      </c>
      <c r="C33" s="32"/>
      <c r="D33" s="63">
        <v>0</v>
      </c>
      <c r="E33" s="64"/>
      <c r="F33" s="63">
        <f t="shared" si="6"/>
        <v>-584576.13103391591</v>
      </c>
      <c r="G33" s="63"/>
      <c r="H33" s="63">
        <f>$H$31+SUM($N$29:$N$31)</f>
        <v>-12210.587617489025</v>
      </c>
      <c r="I33" s="63"/>
      <c r="J33" s="63">
        <f t="shared" si="7"/>
        <v>-596786.71865140495</v>
      </c>
      <c r="K33" s="64"/>
      <c r="L33" s="65">
        <v>3.8E-3</v>
      </c>
      <c r="M33" s="67"/>
      <c r="N33" s="63">
        <f t="shared" si="5"/>
        <v>-2267.7895308753386</v>
      </c>
      <c r="O33" s="63"/>
      <c r="P33" s="63"/>
      <c r="Q33" s="63"/>
      <c r="R33" s="63">
        <f>SUM($D$18:D33)+SUM($N$18:N33)</f>
        <v>-601262.61904129048</v>
      </c>
      <c r="T33" s="29">
        <v>5</v>
      </c>
    </row>
    <row r="34" spans="2:20" ht="15.75">
      <c r="B34" s="62">
        <f t="shared" si="4"/>
        <v>43252</v>
      </c>
      <c r="C34" s="32"/>
      <c r="D34" s="63">
        <v>0</v>
      </c>
      <c r="E34" s="64"/>
      <c r="F34" s="63">
        <f t="shared" si="6"/>
        <v>-584576.13103391591</v>
      </c>
      <c r="G34" s="63"/>
      <c r="H34" s="63">
        <f>$H$31+SUM($N$29:$N$31)</f>
        <v>-12210.587617489025</v>
      </c>
      <c r="I34" s="63"/>
      <c r="J34" s="63">
        <f t="shared" si="7"/>
        <v>-596786.71865140495</v>
      </c>
      <c r="K34" s="64"/>
      <c r="L34" s="65">
        <v>3.7000000000000002E-3</v>
      </c>
      <c r="M34" s="67"/>
      <c r="N34" s="63">
        <f t="shared" si="5"/>
        <v>-2208.1108590101985</v>
      </c>
      <c r="O34" s="63"/>
      <c r="P34" s="63"/>
      <c r="Q34" s="63"/>
      <c r="R34" s="63">
        <f>SUM($D$18:D34)+SUM($N$18:N34)</f>
        <v>-603470.72990030062</v>
      </c>
      <c r="T34" s="29">
        <v>6</v>
      </c>
    </row>
    <row r="35" spans="2:20" ht="15.75">
      <c r="B35" s="62">
        <f t="shared" si="4"/>
        <v>43282</v>
      </c>
      <c r="C35" s="32"/>
      <c r="D35" s="63">
        <v>0</v>
      </c>
      <c r="E35" s="64"/>
      <c r="F35" s="63">
        <f t="shared" si="6"/>
        <v>-584576.13103391591</v>
      </c>
      <c r="G35" s="63"/>
      <c r="H35" s="63">
        <f>$H$34+SUM($N$32:$N$34)</f>
        <v>-18894.59886638476</v>
      </c>
      <c r="I35" s="63"/>
      <c r="J35" s="63">
        <f>F35+H35</f>
        <v>-603470.72990030062</v>
      </c>
      <c r="K35" s="64"/>
      <c r="L35" s="65">
        <v>4.0000000000000001E-3</v>
      </c>
      <c r="M35" s="67"/>
      <c r="N35" s="63">
        <f t="shared" si="5"/>
        <v>-2413.8829196012025</v>
      </c>
      <c r="O35" s="63"/>
      <c r="P35" s="63"/>
      <c r="Q35" s="63"/>
      <c r="R35" s="63">
        <f>SUM($D$18:D35)+SUM($N$18:N35)</f>
        <v>-605884.6128199019</v>
      </c>
      <c r="T35" s="29">
        <v>7</v>
      </c>
    </row>
    <row r="36" spans="2:20" ht="15.75">
      <c r="B36" s="62">
        <f t="shared" si="4"/>
        <v>43313</v>
      </c>
      <c r="C36" s="32"/>
      <c r="D36" s="63">
        <v>0</v>
      </c>
      <c r="E36" s="64"/>
      <c r="F36" s="63">
        <f t="shared" si="6"/>
        <v>-584576.13103391591</v>
      </c>
      <c r="G36" s="63"/>
      <c r="H36" s="63">
        <f>$H$34+SUM($N$32:$N$34)</f>
        <v>-18894.59886638476</v>
      </c>
      <c r="I36" s="63"/>
      <c r="J36" s="63">
        <f t="shared" si="7"/>
        <v>-603470.72990030062</v>
      </c>
      <c r="K36" s="64"/>
      <c r="L36" s="65">
        <v>4.0000000000000001E-3</v>
      </c>
      <c r="M36" s="67"/>
      <c r="N36" s="63">
        <f t="shared" si="5"/>
        <v>-2413.8829196012025</v>
      </c>
      <c r="O36" s="63"/>
      <c r="P36" s="63"/>
      <c r="Q36" s="63"/>
      <c r="R36" s="63">
        <f>SUM($D$18:D36)+SUM($N$18:N36)</f>
        <v>-608298.49573950307</v>
      </c>
      <c r="T36" s="29">
        <v>8</v>
      </c>
    </row>
    <row r="37" spans="2:20" ht="15.75">
      <c r="B37" s="62">
        <f t="shared" si="4"/>
        <v>43344</v>
      </c>
      <c r="C37" s="32"/>
      <c r="D37" s="63">
        <v>0</v>
      </c>
      <c r="E37" s="64"/>
      <c r="F37" s="63">
        <f t="shared" si="6"/>
        <v>-584576.13103391591</v>
      </c>
      <c r="G37" s="63"/>
      <c r="H37" s="63">
        <f>$H$34+SUM($N$32:$N$34)</f>
        <v>-18894.59886638476</v>
      </c>
      <c r="I37" s="63"/>
      <c r="J37" s="63">
        <f t="shared" si="7"/>
        <v>-603470.72990030062</v>
      </c>
      <c r="K37" s="64"/>
      <c r="L37" s="65">
        <v>3.8999999999999998E-3</v>
      </c>
      <c r="M37" s="67"/>
      <c r="N37" s="63">
        <f t="shared" si="5"/>
        <v>-2353.5358466111725</v>
      </c>
      <c r="O37" s="63"/>
      <c r="P37" s="63"/>
      <c r="Q37" s="63"/>
      <c r="R37" s="63">
        <f>SUM($D$18:D37)+SUM($N$18:N37)</f>
        <v>-610652.0315861142</v>
      </c>
      <c r="T37" s="29">
        <v>9</v>
      </c>
    </row>
    <row r="38" spans="2:20" ht="15.75">
      <c r="B38" s="62">
        <f t="shared" si="4"/>
        <v>43374</v>
      </c>
      <c r="C38" s="32"/>
      <c r="D38" s="63">
        <v>0</v>
      </c>
      <c r="E38" s="64"/>
      <c r="F38" s="63">
        <f t="shared" si="6"/>
        <v>-584576.13103391591</v>
      </c>
      <c r="G38" s="63"/>
      <c r="H38" s="63">
        <f>$H$37+SUM($N$35:$N$37)</f>
        <v>-26075.900552198338</v>
      </c>
      <c r="I38" s="63"/>
      <c r="J38" s="63">
        <f>F38+H38</f>
        <v>-610652.0315861142</v>
      </c>
      <c r="K38" s="64"/>
      <c r="L38" s="65">
        <v>4.1999999999999997E-3</v>
      </c>
      <c r="M38" s="67"/>
      <c r="N38" s="63">
        <f t="shared" si="5"/>
        <v>-2564.7385326616795</v>
      </c>
      <c r="O38" s="63"/>
      <c r="P38" s="63"/>
      <c r="Q38" s="63"/>
      <c r="R38" s="63">
        <f>SUM($D$18:D38)+SUM($N$18:N38)</f>
        <v>-613216.77011877589</v>
      </c>
      <c r="T38" s="29">
        <v>10</v>
      </c>
    </row>
    <row r="39" spans="2:20" ht="15.75">
      <c r="B39" s="62">
        <f t="shared" si="4"/>
        <v>43405</v>
      </c>
      <c r="C39" s="32"/>
      <c r="D39" s="63">
        <v>0</v>
      </c>
      <c r="E39" s="64"/>
      <c r="F39" s="63">
        <f t="shared" si="6"/>
        <v>-584576.13103391591</v>
      </c>
      <c r="G39" s="63"/>
      <c r="H39" s="63">
        <f>$H$37+SUM($N$35:$N$37)</f>
        <v>-26075.900552198338</v>
      </c>
      <c r="I39" s="63"/>
      <c r="J39" s="63">
        <f>F39+H39</f>
        <v>-610652.0315861142</v>
      </c>
      <c r="K39" s="64"/>
      <c r="L39" s="65">
        <v>4.1000000000000003E-3</v>
      </c>
      <c r="M39" s="67"/>
      <c r="N39" s="63">
        <f t="shared" si="5"/>
        <v>-2503.6733295030685</v>
      </c>
      <c r="O39" s="63"/>
      <c r="P39" s="63"/>
      <c r="Q39" s="63"/>
      <c r="R39" s="63">
        <f>SUM($D$18:D39)+SUM($N$18:N39)</f>
        <v>-615720.44344827894</v>
      </c>
      <c r="T39" s="29">
        <v>11</v>
      </c>
    </row>
    <row r="40" spans="2:20" ht="15.75">
      <c r="B40" s="62">
        <f t="shared" si="4"/>
        <v>43435</v>
      </c>
      <c r="C40" s="32"/>
      <c r="D40" s="63">
        <v>0</v>
      </c>
      <c r="E40" s="64"/>
      <c r="F40" s="63">
        <f>D39+F39</f>
        <v>-584576.13103391591</v>
      </c>
      <c r="G40" s="63"/>
      <c r="H40" s="63">
        <f>$H$37+SUM($N$35:$N$37)</f>
        <v>-26075.900552198338</v>
      </c>
      <c r="I40" s="63"/>
      <c r="J40" s="63">
        <f>F40+H40</f>
        <v>-610652.0315861142</v>
      </c>
      <c r="K40" s="64"/>
      <c r="L40" s="65">
        <v>4.1999999999999997E-3</v>
      </c>
      <c r="M40" s="67"/>
      <c r="N40" s="63">
        <f t="shared" si="5"/>
        <v>-2564.7385326616795</v>
      </c>
      <c r="O40" s="68"/>
      <c r="P40" s="63"/>
      <c r="Q40" s="63"/>
      <c r="R40" s="63">
        <f>SUM($D$18:D40)+SUM($N$18:N40)</f>
        <v>-618285.18198094063</v>
      </c>
      <c r="T40" s="29">
        <v>12</v>
      </c>
    </row>
    <row r="41" spans="2:20" ht="15.75">
      <c r="B41" s="32"/>
      <c r="C41" s="32"/>
      <c r="D41" s="63"/>
      <c r="E41" s="45"/>
      <c r="F41" s="63"/>
      <c r="G41" s="63"/>
      <c r="H41" s="63"/>
      <c r="I41" s="63"/>
      <c r="J41" s="63"/>
      <c r="K41" s="45"/>
      <c r="L41" s="46"/>
      <c r="M41" s="32"/>
      <c r="N41" s="73"/>
      <c r="O41" s="73"/>
      <c r="P41" s="63"/>
      <c r="Q41" s="63"/>
      <c r="R41" s="63"/>
      <c r="T41" s="74"/>
    </row>
    <row r="42" spans="2:20" ht="15.75">
      <c r="B42" s="61" t="s">
        <v>73</v>
      </c>
      <c r="C42" s="32"/>
      <c r="D42" s="63"/>
      <c r="E42" s="64"/>
      <c r="F42" s="63"/>
      <c r="G42" s="63"/>
      <c r="H42" s="63"/>
      <c r="I42" s="63"/>
      <c r="J42" s="63"/>
      <c r="K42" s="64"/>
      <c r="L42" s="46"/>
      <c r="M42" s="32"/>
      <c r="N42" s="63"/>
      <c r="O42" s="63"/>
      <c r="P42" s="63" t="s">
        <v>59</v>
      </c>
      <c r="Q42" s="63"/>
      <c r="R42" s="72"/>
    </row>
    <row r="43" spans="2:20" ht="15.75">
      <c r="B43" s="62">
        <f>DATE($J$10,T43,1)</f>
        <v>43466</v>
      </c>
      <c r="C43" s="32"/>
      <c r="D43" s="63">
        <v>0</v>
      </c>
      <c r="E43" s="64"/>
      <c r="F43" s="63">
        <f>D40+F40</f>
        <v>-584576.13103391591</v>
      </c>
      <c r="G43" s="63"/>
      <c r="H43" s="63">
        <f>$H$26+SUM($N$24:$N$26)</f>
        <v>-6009.4391307599299</v>
      </c>
      <c r="I43" s="63"/>
      <c r="J43" s="63">
        <f>F43+H43</f>
        <v>-590585.57016467582</v>
      </c>
      <c r="K43" s="64"/>
      <c r="L43" s="65">
        <v>3.8416666666666668E-3</v>
      </c>
      <c r="M43" s="66"/>
      <c r="N43" s="63">
        <f t="shared" ref="N43:N54" si="8">J43*L43</f>
        <v>-2268.832898715963</v>
      </c>
      <c r="O43" s="63"/>
      <c r="P43" s="63"/>
      <c r="Q43" s="63"/>
      <c r="R43" s="63">
        <f>SUM($D$18:D43)+SUM($N$18:N43)</f>
        <v>-620554.01487965661</v>
      </c>
      <c r="T43" s="29">
        <v>1</v>
      </c>
    </row>
    <row r="44" spans="2:20" ht="15.75">
      <c r="B44" s="62">
        <f t="shared" ref="B44:B54" si="9">DATE($J$10,T44,1)</f>
        <v>43497</v>
      </c>
      <c r="C44" s="32"/>
      <c r="D44" s="63">
        <v>0</v>
      </c>
      <c r="E44" s="64"/>
      <c r="F44" s="63">
        <f>D43+F43</f>
        <v>-584576.13103391591</v>
      </c>
      <c r="G44" s="63"/>
      <c r="H44" s="63">
        <f>$H$26+SUM($N$24:$N$26)</f>
        <v>-6009.4391307599299</v>
      </c>
      <c r="I44" s="63"/>
      <c r="J44" s="63">
        <f>F44+H44</f>
        <v>-590585.57016467582</v>
      </c>
      <c r="K44" s="64"/>
      <c r="L44" s="65">
        <v>3.8416666666666668E-3</v>
      </c>
      <c r="M44" s="67"/>
      <c r="N44" s="63">
        <f t="shared" si="8"/>
        <v>-2268.832898715963</v>
      </c>
      <c r="O44" s="63"/>
      <c r="P44" s="63"/>
      <c r="Q44" s="63"/>
      <c r="R44" s="63">
        <f>SUM($D$18:D44)+SUM($N$18:N44)</f>
        <v>-622822.84777837258</v>
      </c>
      <c r="T44" s="29">
        <v>2</v>
      </c>
    </row>
    <row r="45" spans="2:20" ht="15.75">
      <c r="B45" s="62">
        <f t="shared" si="9"/>
        <v>43525</v>
      </c>
      <c r="C45" s="32"/>
      <c r="D45" s="63">
        <v>0</v>
      </c>
      <c r="E45" s="64"/>
      <c r="F45" s="63">
        <f t="shared" ref="F45:F53" si="10">D44+F44</f>
        <v>-584576.13103391591</v>
      </c>
      <c r="G45" s="63"/>
      <c r="H45" s="63">
        <f>$H$26+SUM($N$24:$N$26)</f>
        <v>-6009.4391307599299</v>
      </c>
      <c r="I45" s="63"/>
      <c r="J45" s="63">
        <f t="shared" ref="J45" si="11">F45+H45</f>
        <v>-590585.57016467582</v>
      </c>
      <c r="K45" s="64"/>
      <c r="L45" s="65">
        <v>3.8416666666666668E-3</v>
      </c>
      <c r="M45" s="67"/>
      <c r="N45" s="63">
        <f t="shared" si="8"/>
        <v>-2268.832898715963</v>
      </c>
      <c r="O45" s="63"/>
      <c r="P45" s="63"/>
      <c r="Q45" s="63"/>
      <c r="R45" s="63">
        <f>SUM($D$18:D45)+SUM($N$18:N45)</f>
        <v>-625091.68067708856</v>
      </c>
      <c r="T45" s="29">
        <v>3</v>
      </c>
    </row>
    <row r="46" spans="2:20" ht="15.75">
      <c r="B46" s="62">
        <f t="shared" si="9"/>
        <v>43556</v>
      </c>
      <c r="C46" s="32"/>
      <c r="D46" s="63">
        <v>0</v>
      </c>
      <c r="E46" s="64"/>
      <c r="F46" s="63">
        <f t="shared" si="10"/>
        <v>-584576.13103391591</v>
      </c>
      <c r="G46" s="63"/>
      <c r="H46" s="63">
        <f>$H$31+SUM($N$29:$N$31)</f>
        <v>-12210.587617489025</v>
      </c>
      <c r="I46" s="63"/>
      <c r="J46" s="63">
        <f>F46+H46</f>
        <v>-596786.71865140495</v>
      </c>
      <c r="K46" s="64"/>
      <c r="L46" s="65">
        <v>3.8416666666666668E-3</v>
      </c>
      <c r="M46" s="67"/>
      <c r="N46" s="63">
        <f t="shared" si="8"/>
        <v>-2292.6556441524808</v>
      </c>
      <c r="O46" s="63"/>
      <c r="P46" s="63"/>
      <c r="Q46" s="63"/>
      <c r="R46" s="63">
        <f>SUM($D$18:D46)+SUM($N$18:N46)</f>
        <v>-627384.33632124099</v>
      </c>
      <c r="T46" s="29">
        <v>4</v>
      </c>
    </row>
    <row r="47" spans="2:20" ht="15.75">
      <c r="B47" s="62">
        <f t="shared" si="9"/>
        <v>43586</v>
      </c>
      <c r="C47" s="32"/>
      <c r="D47" s="63">
        <v>0</v>
      </c>
      <c r="E47" s="64"/>
      <c r="F47" s="63">
        <f t="shared" si="10"/>
        <v>-584576.13103391591</v>
      </c>
      <c r="G47" s="63"/>
      <c r="H47" s="63">
        <f>$H$31+SUM($N$29:$N$31)</f>
        <v>-12210.587617489025</v>
      </c>
      <c r="I47" s="63"/>
      <c r="J47" s="63">
        <f t="shared" ref="J47:J48" si="12">F47+H47</f>
        <v>-596786.71865140495</v>
      </c>
      <c r="K47" s="64"/>
      <c r="L47" s="65">
        <v>3.8416666666666668E-3</v>
      </c>
      <c r="M47" s="67"/>
      <c r="N47" s="63">
        <f t="shared" si="8"/>
        <v>-2292.6556441524808</v>
      </c>
      <c r="O47" s="63"/>
      <c r="P47" s="63"/>
      <c r="Q47" s="63"/>
      <c r="R47" s="63">
        <f>SUM($D$18:D47)+SUM($N$18:N47)</f>
        <v>-629676.99196539354</v>
      </c>
      <c r="T47" s="29">
        <v>5</v>
      </c>
    </row>
    <row r="48" spans="2:20" ht="15.75">
      <c r="B48" s="62">
        <f t="shared" si="9"/>
        <v>43617</v>
      </c>
      <c r="C48" s="32"/>
      <c r="D48" s="63">
        <v>0</v>
      </c>
      <c r="E48" s="64"/>
      <c r="F48" s="63">
        <f t="shared" si="10"/>
        <v>-584576.13103391591</v>
      </c>
      <c r="G48" s="63"/>
      <c r="H48" s="63">
        <f>$H$31+SUM($N$29:$N$31)</f>
        <v>-12210.587617489025</v>
      </c>
      <c r="I48" s="63"/>
      <c r="J48" s="63">
        <f t="shared" si="12"/>
        <v>-596786.71865140495</v>
      </c>
      <c r="K48" s="64"/>
      <c r="L48" s="65">
        <v>3.8416666666666668E-3</v>
      </c>
      <c r="M48" s="67"/>
      <c r="N48" s="63">
        <f t="shared" si="8"/>
        <v>-2292.6556441524808</v>
      </c>
      <c r="O48" s="63"/>
      <c r="P48" s="63"/>
      <c r="Q48" s="63"/>
      <c r="R48" s="63">
        <f>SUM($D$18:D48)+SUM($N$18:N48)</f>
        <v>-631969.64760954597</v>
      </c>
      <c r="T48" s="29">
        <v>6</v>
      </c>
    </row>
    <row r="49" spans="2:20" ht="15.75">
      <c r="B49" s="62">
        <f t="shared" si="9"/>
        <v>43647</v>
      </c>
      <c r="C49" s="32"/>
      <c r="D49" s="63">
        <v>0</v>
      </c>
      <c r="E49" s="64"/>
      <c r="F49" s="63">
        <f t="shared" si="10"/>
        <v>-584576.13103391591</v>
      </c>
      <c r="G49" s="63"/>
      <c r="H49" s="63">
        <f>$H$34+SUM($N$32:$N$34)</f>
        <v>-18894.59886638476</v>
      </c>
      <c r="I49" s="63"/>
      <c r="J49" s="63">
        <f>F49+H49</f>
        <v>-603470.72990030062</v>
      </c>
      <c r="K49" s="64"/>
      <c r="L49" s="65">
        <v>3.8416666666666668E-3</v>
      </c>
      <c r="M49" s="67"/>
      <c r="N49" s="63">
        <f t="shared" si="8"/>
        <v>-2318.3333873669885</v>
      </c>
      <c r="O49" s="63"/>
      <c r="P49" s="63"/>
      <c r="Q49" s="63"/>
      <c r="R49" s="63">
        <f>SUM($D$18:D49)+SUM($N$18:N49)</f>
        <v>-634287.98099691304</v>
      </c>
      <c r="T49" s="29">
        <v>7</v>
      </c>
    </row>
    <row r="50" spans="2:20" ht="15.75">
      <c r="B50" s="62">
        <f t="shared" si="9"/>
        <v>43678</v>
      </c>
      <c r="C50" s="32"/>
      <c r="D50" s="63">
        <v>0</v>
      </c>
      <c r="E50" s="64"/>
      <c r="F50" s="63">
        <f t="shared" si="10"/>
        <v>-584576.13103391591</v>
      </c>
      <c r="G50" s="63"/>
      <c r="H50" s="63">
        <f>$H$34+SUM($N$32:$N$34)</f>
        <v>-18894.59886638476</v>
      </c>
      <c r="I50" s="63"/>
      <c r="J50" s="63">
        <f t="shared" ref="J50:J51" si="13">F50+H50</f>
        <v>-603470.72990030062</v>
      </c>
      <c r="K50" s="64"/>
      <c r="L50" s="65">
        <v>3.8416666666666668E-3</v>
      </c>
      <c r="M50" s="67"/>
      <c r="N50" s="63">
        <f t="shared" si="8"/>
        <v>-2318.3333873669885</v>
      </c>
      <c r="O50" s="63"/>
      <c r="P50" s="63"/>
      <c r="Q50" s="63"/>
      <c r="R50" s="63">
        <f>SUM($D$18:D50)+SUM($N$18:N50)</f>
        <v>-636606.31438428001</v>
      </c>
      <c r="T50" s="29">
        <v>8</v>
      </c>
    </row>
    <row r="51" spans="2:20" ht="15.75">
      <c r="B51" s="62">
        <f t="shared" si="9"/>
        <v>43709</v>
      </c>
      <c r="C51" s="32"/>
      <c r="D51" s="63">
        <v>0</v>
      </c>
      <c r="E51" s="64"/>
      <c r="F51" s="63">
        <f t="shared" si="10"/>
        <v>-584576.13103391591</v>
      </c>
      <c r="G51" s="63"/>
      <c r="H51" s="63">
        <f>$H$34+SUM($N$32:$N$34)</f>
        <v>-18894.59886638476</v>
      </c>
      <c r="I51" s="63"/>
      <c r="J51" s="63">
        <f t="shared" si="13"/>
        <v>-603470.72990030062</v>
      </c>
      <c r="K51" s="64"/>
      <c r="L51" s="65">
        <v>3.8416666666666668E-3</v>
      </c>
      <c r="M51" s="67"/>
      <c r="N51" s="63">
        <f t="shared" si="8"/>
        <v>-2318.3333873669885</v>
      </c>
      <c r="O51" s="63"/>
      <c r="P51" s="63"/>
      <c r="Q51" s="63"/>
      <c r="R51" s="63">
        <f>SUM($D$18:D51)+SUM($N$18:N51)</f>
        <v>-638924.64777164697</v>
      </c>
      <c r="T51" s="29">
        <v>9</v>
      </c>
    </row>
    <row r="52" spans="2:20" ht="15.75">
      <c r="B52" s="62">
        <f t="shared" si="9"/>
        <v>43739</v>
      </c>
      <c r="C52" s="32"/>
      <c r="D52" s="63">
        <v>0</v>
      </c>
      <c r="E52" s="64"/>
      <c r="F52" s="63">
        <f t="shared" si="10"/>
        <v>-584576.13103391591</v>
      </c>
      <c r="G52" s="63"/>
      <c r="H52" s="63">
        <f>$H$37+SUM($N$35:$N$37)</f>
        <v>-26075.900552198338</v>
      </c>
      <c r="I52" s="63"/>
      <c r="J52" s="63">
        <f>F52+H52</f>
        <v>-610652.0315861142</v>
      </c>
      <c r="K52" s="64"/>
      <c r="L52" s="65">
        <v>3.8416666666666668E-3</v>
      </c>
      <c r="M52" s="67"/>
      <c r="N52" s="63">
        <f t="shared" si="8"/>
        <v>-2345.9215546766554</v>
      </c>
      <c r="O52" s="63"/>
      <c r="P52" s="63"/>
      <c r="Q52" s="63"/>
      <c r="R52" s="63">
        <f>SUM($D$18:D52)+SUM($N$18:N52)</f>
        <v>-641270.56932632369</v>
      </c>
      <c r="T52" s="29">
        <v>10</v>
      </c>
    </row>
    <row r="53" spans="2:20" ht="15.75">
      <c r="B53" s="62">
        <f t="shared" si="9"/>
        <v>43770</v>
      </c>
      <c r="C53" s="32"/>
      <c r="D53" s="63">
        <v>0</v>
      </c>
      <c r="E53" s="64"/>
      <c r="F53" s="63">
        <f t="shared" si="10"/>
        <v>-584576.13103391591</v>
      </c>
      <c r="G53" s="63"/>
      <c r="H53" s="63">
        <f>$H$37+SUM($N$35:$N$37)</f>
        <v>-26075.900552198338</v>
      </c>
      <c r="I53" s="63"/>
      <c r="J53" s="63">
        <f>F53+H53</f>
        <v>-610652.0315861142</v>
      </c>
      <c r="K53" s="64"/>
      <c r="L53" s="65">
        <v>3.8416666666666668E-3</v>
      </c>
      <c r="M53" s="67"/>
      <c r="N53" s="63">
        <f t="shared" si="8"/>
        <v>-2345.9215546766554</v>
      </c>
      <c r="O53" s="63"/>
      <c r="P53" s="63"/>
      <c r="Q53" s="63"/>
      <c r="R53" s="63">
        <f>SUM($D$18:D53)+SUM($N$18:N53)</f>
        <v>-643616.4908810003</v>
      </c>
      <c r="T53" s="29">
        <v>11</v>
      </c>
    </row>
    <row r="54" spans="2:20" ht="15.75">
      <c r="B54" s="62">
        <f t="shared" si="9"/>
        <v>43800</v>
      </c>
      <c r="C54" s="32"/>
      <c r="D54" s="63">
        <v>0</v>
      </c>
      <c r="E54" s="64"/>
      <c r="F54" s="63">
        <f>D53+F53</f>
        <v>-584576.13103391591</v>
      </c>
      <c r="G54" s="63"/>
      <c r="H54" s="63">
        <f>$H$37+SUM($N$35:$N$37)</f>
        <v>-26075.900552198338</v>
      </c>
      <c r="I54" s="63"/>
      <c r="J54" s="63">
        <f>F54+H54</f>
        <v>-610652.0315861142</v>
      </c>
      <c r="K54" s="64"/>
      <c r="L54" s="65">
        <v>3.8416666666666668E-3</v>
      </c>
      <c r="M54" s="67"/>
      <c r="N54" s="63">
        <f t="shared" si="8"/>
        <v>-2345.9215546766554</v>
      </c>
      <c r="O54" s="68"/>
      <c r="P54" s="63"/>
      <c r="Q54" s="63"/>
      <c r="R54" s="63">
        <f>SUM($D$18:D54)+SUM($N$18:N54)</f>
        <v>-645962.4124356769</v>
      </c>
      <c r="T54" s="29">
        <v>12</v>
      </c>
    </row>
    <row r="55" spans="2:20" ht="15.75">
      <c r="B55" s="32"/>
      <c r="C55" s="32"/>
      <c r="D55" s="63"/>
      <c r="E55" s="45"/>
      <c r="F55" s="63"/>
      <c r="G55" s="63"/>
      <c r="H55" s="63"/>
      <c r="I55" s="63"/>
      <c r="J55" s="63"/>
      <c r="K55" s="45"/>
      <c r="L55" s="46"/>
      <c r="M55" s="32"/>
      <c r="N55" s="73"/>
      <c r="O55" s="73"/>
      <c r="P55" s="63"/>
      <c r="Q55" s="63"/>
      <c r="R55" s="63"/>
      <c r="T55" s="74"/>
    </row>
    <row r="56" spans="2:20" ht="15.75">
      <c r="B56" s="75" t="s">
        <v>74</v>
      </c>
      <c r="C56" s="32"/>
      <c r="D56" s="63"/>
      <c r="E56" s="64"/>
      <c r="F56" s="63"/>
      <c r="G56" s="63"/>
      <c r="H56" s="63"/>
      <c r="I56" s="63"/>
      <c r="J56" s="63"/>
      <c r="K56" s="64"/>
      <c r="L56" s="46"/>
      <c r="M56" s="32"/>
      <c r="N56" s="76"/>
      <c r="O56" s="76"/>
      <c r="P56" s="63"/>
      <c r="Q56" s="63"/>
      <c r="R56" s="63"/>
    </row>
    <row r="57" spans="2:20" ht="15.75">
      <c r="B57" s="77" t="s">
        <v>75</v>
      </c>
      <c r="C57" s="32"/>
      <c r="D57" s="63"/>
      <c r="E57" s="64"/>
      <c r="F57" s="63"/>
      <c r="G57" s="63"/>
      <c r="H57" s="63"/>
      <c r="I57" s="63"/>
      <c r="J57" s="63"/>
      <c r="K57" s="64"/>
      <c r="L57" s="46"/>
      <c r="M57" s="32"/>
      <c r="N57" s="76"/>
      <c r="O57" s="76"/>
      <c r="P57" s="63"/>
      <c r="Q57" s="63"/>
      <c r="R57" s="63"/>
    </row>
    <row r="58" spans="2:20" ht="15.75">
      <c r="B58" s="62">
        <f t="shared" ref="B58:B69" si="14">DATE($J$11,T58,1)</f>
        <v>43831</v>
      </c>
      <c r="C58" s="32"/>
      <c r="D58" s="63">
        <v>0</v>
      </c>
      <c r="E58" s="78"/>
      <c r="F58" s="63">
        <f>D40+F40</f>
        <v>-584576.13103391591</v>
      </c>
      <c r="G58" s="71"/>
      <c r="H58" s="63">
        <f>$H$40+SUM($N$38:$N$40)</f>
        <v>-33709.050947024763</v>
      </c>
      <c r="I58" s="63"/>
      <c r="J58" s="63">
        <f>F58+H58</f>
        <v>-618285.18198094063</v>
      </c>
      <c r="K58" s="45"/>
      <c r="L58" s="65">
        <v>3.8416666666666668E-3</v>
      </c>
      <c r="M58" s="32"/>
      <c r="N58" s="63">
        <f t="shared" ref="N58:N69" si="15">J58*L58</f>
        <v>-2375.2455741101135</v>
      </c>
      <c r="O58" s="63"/>
      <c r="P58" s="63">
        <f>PMT(L58,12,$R$40)</f>
        <v>52819.400369528244</v>
      </c>
      <c r="Q58" s="63"/>
      <c r="R58" s="63">
        <f>SUM($D$18:D58)+SUM($N$18:N58)+SUM($P$58:P58)</f>
        <v>-595518.25764025887</v>
      </c>
      <c r="T58" s="29">
        <v>1</v>
      </c>
    </row>
    <row r="59" spans="2:20" ht="15.75">
      <c r="B59" s="62">
        <f t="shared" si="14"/>
        <v>43862</v>
      </c>
      <c r="C59" s="32"/>
      <c r="D59" s="63">
        <v>0</v>
      </c>
      <c r="E59" s="45"/>
      <c r="F59" s="63">
        <f>D58+F58</f>
        <v>-584576.13103391591</v>
      </c>
      <c r="G59" s="63"/>
      <c r="H59" s="63">
        <f>$H$40+SUM($N$38:$N$40)</f>
        <v>-33709.050947024763</v>
      </c>
      <c r="I59" s="63"/>
      <c r="J59" s="63">
        <f>R58</f>
        <v>-595518.25764025887</v>
      </c>
      <c r="K59" s="45"/>
      <c r="L59" s="65">
        <v>3.8416666666666668E-3</v>
      </c>
      <c r="M59" s="32"/>
      <c r="N59" s="63">
        <f t="shared" si="15"/>
        <v>-2287.7826397679946</v>
      </c>
      <c r="O59" s="63"/>
      <c r="P59" s="63">
        <f t="shared" ref="P59:P69" si="16">PMT(L59,12,$R$40)</f>
        <v>52819.400369528244</v>
      </c>
      <c r="Q59" s="63"/>
      <c r="R59" s="63">
        <f>SUM($D$18:D59)+SUM($N$18:N59)+SUM($P$58:P59)</f>
        <v>-544986.63991049863</v>
      </c>
      <c r="T59" s="29">
        <v>2</v>
      </c>
    </row>
    <row r="60" spans="2:20" ht="15.75">
      <c r="B60" s="62">
        <f t="shared" si="14"/>
        <v>43891</v>
      </c>
      <c r="C60" s="32"/>
      <c r="D60" s="63">
        <v>0</v>
      </c>
      <c r="E60" s="45"/>
      <c r="F60" s="63">
        <f t="shared" ref="F60:F68" si="17">D59+F59</f>
        <v>-584576.13103391591</v>
      </c>
      <c r="G60" s="63"/>
      <c r="H60" s="63">
        <f>$H$40+SUM($N$38:$N$40)</f>
        <v>-33709.050947024763</v>
      </c>
      <c r="I60" s="63"/>
      <c r="J60" s="63">
        <f t="shared" ref="J60:J69" si="18">R59</f>
        <v>-544986.63991049863</v>
      </c>
      <c r="K60" s="45"/>
      <c r="L60" s="65">
        <v>3.8416666666666668E-3</v>
      </c>
      <c r="M60" s="32"/>
      <c r="N60" s="63">
        <f t="shared" si="15"/>
        <v>-2093.6570083228326</v>
      </c>
      <c r="O60" s="63"/>
      <c r="P60" s="63">
        <f t="shared" si="16"/>
        <v>52819.400369528244</v>
      </c>
      <c r="Q60" s="63"/>
      <c r="R60" s="63">
        <f>SUM($D$18:D60)+SUM($N$18:N60)+SUM($P$58:P60)</f>
        <v>-494260.89654929307</v>
      </c>
      <c r="T60" s="29">
        <v>3</v>
      </c>
    </row>
    <row r="61" spans="2:20" ht="15.75">
      <c r="B61" s="62">
        <f t="shared" si="14"/>
        <v>43922</v>
      </c>
      <c r="C61" s="32"/>
      <c r="D61" s="63">
        <v>0</v>
      </c>
      <c r="E61" s="45"/>
      <c r="F61" s="63">
        <f t="shared" si="17"/>
        <v>-584576.13103391591</v>
      </c>
      <c r="G61" s="63"/>
      <c r="H61" s="63">
        <f>$H$60+SUM($N$58:$N$60)</f>
        <v>-40465.736169225704</v>
      </c>
      <c r="I61" s="63"/>
      <c r="J61" s="63">
        <f t="shared" si="18"/>
        <v>-494260.89654929307</v>
      </c>
      <c r="K61" s="45"/>
      <c r="L61" s="65">
        <v>3.8416666666666668E-3</v>
      </c>
      <c r="M61" s="32"/>
      <c r="N61" s="63">
        <f t="shared" si="15"/>
        <v>-1898.7856109102011</v>
      </c>
      <c r="O61" s="63"/>
      <c r="P61" s="63">
        <f t="shared" si="16"/>
        <v>52819.400369528244</v>
      </c>
      <c r="Q61" s="63"/>
      <c r="R61" s="63">
        <f>SUM($D$18:D61)+SUM($N$18:N61)+SUM($P$58:P61)</f>
        <v>-443340.28179067513</v>
      </c>
      <c r="T61" s="29">
        <v>4</v>
      </c>
    </row>
    <row r="62" spans="2:20" ht="15.75">
      <c r="B62" s="62">
        <f t="shared" si="14"/>
        <v>43952</v>
      </c>
      <c r="C62" s="32"/>
      <c r="D62" s="63">
        <v>0</v>
      </c>
      <c r="E62" s="45"/>
      <c r="F62" s="63">
        <f t="shared" si="17"/>
        <v>-584576.13103391591</v>
      </c>
      <c r="G62" s="63"/>
      <c r="H62" s="63">
        <f>$H$60+SUM($N$58:$N$60)</f>
        <v>-40465.736169225704</v>
      </c>
      <c r="I62" s="63"/>
      <c r="J62" s="63">
        <f t="shared" si="18"/>
        <v>-443340.28179067513</v>
      </c>
      <c r="K62" s="45"/>
      <c r="L62" s="65">
        <v>3.8416666666666668E-3</v>
      </c>
      <c r="M62" s="32"/>
      <c r="N62" s="63">
        <f t="shared" si="15"/>
        <v>-1703.1655825458438</v>
      </c>
      <c r="O62" s="63"/>
      <c r="P62" s="63">
        <f t="shared" si="16"/>
        <v>52819.400369528244</v>
      </c>
      <c r="Q62" s="63"/>
      <c r="R62" s="63">
        <f>SUM($D$18:D62)+SUM($N$18:N62)+SUM($P$58:P62)</f>
        <v>-392224.04700369271</v>
      </c>
      <c r="T62" s="29">
        <v>5</v>
      </c>
    </row>
    <row r="63" spans="2:20" ht="15.75">
      <c r="B63" s="62">
        <f t="shared" si="14"/>
        <v>43983</v>
      </c>
      <c r="C63" s="35"/>
      <c r="D63" s="63">
        <v>0</v>
      </c>
      <c r="E63" s="45"/>
      <c r="F63" s="63">
        <f t="shared" si="17"/>
        <v>-584576.13103391591</v>
      </c>
      <c r="G63" s="63"/>
      <c r="H63" s="63">
        <f>$H$60+SUM($N$58:$N$60)</f>
        <v>-40465.736169225704</v>
      </c>
      <c r="I63" s="63"/>
      <c r="J63" s="63">
        <f t="shared" si="18"/>
        <v>-392224.04700369271</v>
      </c>
      <c r="K63" s="45"/>
      <c r="L63" s="65">
        <v>3.8416666666666668E-3</v>
      </c>
      <c r="M63" s="32"/>
      <c r="N63" s="63">
        <f t="shared" si="15"/>
        <v>-1506.7940472391863</v>
      </c>
      <c r="O63" s="63"/>
      <c r="P63" s="63">
        <f t="shared" si="16"/>
        <v>52819.400369528244</v>
      </c>
      <c r="Q63" s="63"/>
      <c r="R63" s="63">
        <f>SUM($D$18:D63)+SUM($N$18:N63)+SUM($P$58:P63)</f>
        <v>-340911.44068140374</v>
      </c>
      <c r="T63" s="29">
        <v>6</v>
      </c>
    </row>
    <row r="64" spans="2:20" ht="15.75">
      <c r="B64" s="62">
        <f t="shared" si="14"/>
        <v>44013</v>
      </c>
      <c r="C64" s="32"/>
      <c r="D64" s="63">
        <v>0</v>
      </c>
      <c r="E64" s="45"/>
      <c r="F64" s="63">
        <f t="shared" si="17"/>
        <v>-584576.13103391591</v>
      </c>
      <c r="G64" s="63"/>
      <c r="H64" s="63">
        <f>$H$63+SUM($N$61:$N$63)</f>
        <v>-45574.481409920932</v>
      </c>
      <c r="I64" s="63"/>
      <c r="J64" s="63">
        <f t="shared" si="18"/>
        <v>-340911.44068140374</v>
      </c>
      <c r="K64" s="45"/>
      <c r="L64" s="65">
        <v>3.8416666666666668E-3</v>
      </c>
      <c r="M64" s="32"/>
      <c r="N64" s="63">
        <f t="shared" si="15"/>
        <v>-1309.6681179510595</v>
      </c>
      <c r="O64" s="63"/>
      <c r="P64" s="63">
        <f t="shared" si="16"/>
        <v>52819.400369528244</v>
      </c>
      <c r="Q64" s="63"/>
      <c r="R64" s="63">
        <f>SUM($D$18:D64)+SUM($N$18:N64)+SUM($P$58:P64)</f>
        <v>-289401.70842982654</v>
      </c>
      <c r="T64" s="29">
        <v>7</v>
      </c>
    </row>
    <row r="65" spans="2:20" ht="15.75">
      <c r="B65" s="62">
        <f t="shared" si="14"/>
        <v>44044</v>
      </c>
      <c r="C65" s="32"/>
      <c r="D65" s="63">
        <v>0</v>
      </c>
      <c r="E65" s="45"/>
      <c r="F65" s="63">
        <f t="shared" si="17"/>
        <v>-584576.13103391591</v>
      </c>
      <c r="G65" s="63"/>
      <c r="H65" s="63">
        <f>$H$63+SUM($N$61:$N$63)</f>
        <v>-45574.481409920932</v>
      </c>
      <c r="I65" s="63"/>
      <c r="J65" s="63">
        <f t="shared" si="18"/>
        <v>-289401.70842982654</v>
      </c>
      <c r="K65" s="45"/>
      <c r="L65" s="65">
        <v>3.8416666666666668E-3</v>
      </c>
      <c r="M65" s="32"/>
      <c r="N65" s="63">
        <f t="shared" si="15"/>
        <v>-1111.7848965512503</v>
      </c>
      <c r="O65" s="63"/>
      <c r="P65" s="63">
        <f t="shared" si="16"/>
        <v>52819.400369528244</v>
      </c>
      <c r="Q65" s="63"/>
      <c r="R65" s="63">
        <f>SUM($D$18:D65)+SUM($N$18:N65)+SUM($P$58:P65)</f>
        <v>-237694.09295684961</v>
      </c>
      <c r="T65" s="29">
        <v>8</v>
      </c>
    </row>
    <row r="66" spans="2:20" ht="15.75">
      <c r="B66" s="62">
        <f t="shared" si="14"/>
        <v>44075</v>
      </c>
      <c r="C66" s="32"/>
      <c r="D66" s="63">
        <v>0</v>
      </c>
      <c r="E66" s="45"/>
      <c r="F66" s="63">
        <f t="shared" si="17"/>
        <v>-584576.13103391591</v>
      </c>
      <c r="G66" s="63"/>
      <c r="H66" s="63">
        <f>$H$63+SUM($N$61:$N$63)</f>
        <v>-45574.481409920932</v>
      </c>
      <c r="I66" s="63"/>
      <c r="J66" s="63">
        <f t="shared" si="18"/>
        <v>-237694.09295684961</v>
      </c>
      <c r="K66" s="45"/>
      <c r="L66" s="65">
        <v>3.8416666666666668E-3</v>
      </c>
      <c r="M66" s="32"/>
      <c r="N66" s="63">
        <f t="shared" si="15"/>
        <v>-913.14147377589723</v>
      </c>
      <c r="O66" s="63"/>
      <c r="P66" s="63">
        <f t="shared" si="16"/>
        <v>52819.400369528244</v>
      </c>
      <c r="Q66" s="63"/>
      <c r="R66" s="63">
        <f>SUM($D$18:D66)+SUM($N$18:N66)+SUM($P$58:P66)</f>
        <v>-185787.83406109724</v>
      </c>
      <c r="T66" s="29">
        <v>9</v>
      </c>
    </row>
    <row r="67" spans="2:20" ht="15.75">
      <c r="B67" s="62">
        <f t="shared" si="14"/>
        <v>44105</v>
      </c>
      <c r="C67" s="32"/>
      <c r="D67" s="63">
        <v>0</v>
      </c>
      <c r="E67" s="45"/>
      <c r="F67" s="63">
        <f t="shared" si="17"/>
        <v>-584576.13103391591</v>
      </c>
      <c r="G67" s="63"/>
      <c r="H67" s="63">
        <f>$H$66+SUM($N$64:$N$66)</f>
        <v>-48909.075898199138</v>
      </c>
      <c r="I67" s="63"/>
      <c r="J67" s="63">
        <f t="shared" si="18"/>
        <v>-185787.83406109724</v>
      </c>
      <c r="K67" s="45"/>
      <c r="L67" s="65">
        <v>3.8416666666666668E-3</v>
      </c>
      <c r="M67" s="32"/>
      <c r="N67" s="63">
        <f t="shared" si="15"/>
        <v>-713.73492918471527</v>
      </c>
      <c r="O67" s="63"/>
      <c r="P67" s="63">
        <f t="shared" si="16"/>
        <v>52819.400369528244</v>
      </c>
      <c r="Q67" s="63"/>
      <c r="R67" s="63">
        <f>SUM($D$18:D67)+SUM($N$18:N67)+SUM($P$58:P67)</f>
        <v>-133682.1686207538</v>
      </c>
      <c r="T67" s="29">
        <v>10</v>
      </c>
    </row>
    <row r="68" spans="2:20" ht="15.75">
      <c r="B68" s="62">
        <f t="shared" si="14"/>
        <v>44136</v>
      </c>
      <c r="C68" s="32"/>
      <c r="D68" s="63">
        <v>0</v>
      </c>
      <c r="E68" s="45"/>
      <c r="F68" s="63">
        <f t="shared" si="17"/>
        <v>-584576.13103391591</v>
      </c>
      <c r="G68" s="63"/>
      <c r="H68" s="63">
        <f>$H$66+SUM($N$64:$N$66)</f>
        <v>-48909.075898199138</v>
      </c>
      <c r="I68" s="63"/>
      <c r="J68" s="63">
        <f t="shared" si="18"/>
        <v>-133682.1686207538</v>
      </c>
      <c r="K68" s="45"/>
      <c r="L68" s="65">
        <v>3.8416666666666668E-3</v>
      </c>
      <c r="M68" s="32"/>
      <c r="N68" s="63">
        <f t="shared" si="15"/>
        <v>-513.5623311180625</v>
      </c>
      <c r="O68" s="63"/>
      <c r="P68" s="63">
        <f t="shared" si="16"/>
        <v>52819.400369528244</v>
      </c>
      <c r="Q68" s="63"/>
      <c r="R68" s="63">
        <f>SUM($D$18:D68)+SUM($N$18:N68)+SUM($P$58:P68)</f>
        <v>-81376.330582343624</v>
      </c>
      <c r="S68" s="79"/>
      <c r="T68" s="29">
        <v>11</v>
      </c>
    </row>
    <row r="69" spans="2:20" ht="16.5" thickBot="1">
      <c r="B69" s="80">
        <f t="shared" si="14"/>
        <v>44166</v>
      </c>
      <c r="C69" s="81"/>
      <c r="D69" s="82">
        <v>0</v>
      </c>
      <c r="E69" s="49"/>
      <c r="F69" s="82">
        <f>D68+F68</f>
        <v>-584576.13103391591</v>
      </c>
      <c r="G69" s="82"/>
      <c r="H69" s="82">
        <f>$H$66+SUM($N$64:$N$66)</f>
        <v>-48909.075898199138</v>
      </c>
      <c r="I69" s="82"/>
      <c r="J69" s="82">
        <f t="shared" si="18"/>
        <v>-81376.330582343624</v>
      </c>
      <c r="K69" s="49"/>
      <c r="L69" s="83">
        <v>3.8416666666666668E-3</v>
      </c>
      <c r="M69" s="81"/>
      <c r="N69" s="82">
        <f t="shared" si="15"/>
        <v>-312.62073665383679</v>
      </c>
      <c r="O69" s="82"/>
      <c r="P69" s="82">
        <f t="shared" si="16"/>
        <v>52819.400369528244</v>
      </c>
      <c r="Q69" s="82"/>
      <c r="R69" s="82">
        <f>SUM($D$18:D69)+SUM($N$18:N69)+SUM($P$58:P69)</f>
        <v>-28869.550949469325</v>
      </c>
      <c r="T69" s="29">
        <v>12</v>
      </c>
    </row>
    <row r="70" spans="2:20" ht="15.75">
      <c r="B70" s="32"/>
      <c r="C70" s="32"/>
      <c r="D70" s="45"/>
      <c r="E70" s="45"/>
      <c r="F70" s="45"/>
      <c r="G70" s="45"/>
      <c r="H70" s="45"/>
      <c r="I70" s="45"/>
      <c r="J70" s="45"/>
      <c r="K70" s="45"/>
      <c r="L70" s="32"/>
      <c r="M70" s="32"/>
      <c r="N70" s="63"/>
      <c r="O70" s="63"/>
      <c r="P70" s="63"/>
      <c r="Q70" s="63"/>
      <c r="R70" s="63"/>
    </row>
    <row r="71" spans="2:20" ht="15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72"/>
      <c r="O71" s="72"/>
      <c r="P71" s="72"/>
      <c r="Q71" s="72"/>
      <c r="R71" s="72"/>
    </row>
    <row r="72" spans="2:20" ht="15.75">
      <c r="B72" s="85" t="s">
        <v>76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7"/>
      <c r="O72" s="87"/>
      <c r="P72" s="88">
        <f>(SUM(P58:P69)*-1)</f>
        <v>-633832.8044343387</v>
      </c>
      <c r="Q72" s="72"/>
      <c r="R72" s="72"/>
    </row>
    <row r="73" spans="2:20" ht="15.75">
      <c r="B73" s="89" t="s">
        <v>77</v>
      </c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1"/>
      <c r="O73" s="91"/>
      <c r="P73" s="92">
        <f>+F10</f>
        <v>-584576.13103391591</v>
      </c>
      <c r="Q73" s="72"/>
      <c r="R73" s="72"/>
    </row>
    <row r="74" spans="2:20" ht="15.75">
      <c r="B74" s="93" t="s">
        <v>78</v>
      </c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5"/>
      <c r="O74" s="95"/>
      <c r="P74" s="96">
        <f>+(P72-P73)</f>
        <v>-49256.673400422791</v>
      </c>
      <c r="Q74" s="72"/>
      <c r="R74" s="72"/>
    </row>
    <row r="75" spans="2:20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</row>
    <row r="76" spans="2:20" ht="15.75" customHeight="1">
      <c r="B76" s="108" t="s">
        <v>79</v>
      </c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98"/>
      <c r="R76" s="98"/>
    </row>
    <row r="77" spans="2:20" ht="12.75" customHeight="1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97"/>
      <c r="R77" s="97"/>
    </row>
    <row r="78" spans="2:20" ht="38.25" customHeight="1"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99"/>
      <c r="R78" s="99"/>
    </row>
    <row r="80" spans="2:20" ht="22.5" customHeight="1">
      <c r="B80" s="109" t="s">
        <v>80</v>
      </c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</row>
    <row r="83" spans="2:2" ht="15.75">
      <c r="B83" s="58"/>
    </row>
  </sheetData>
  <mergeCells count="5">
    <mergeCell ref="B4:R4"/>
    <mergeCell ref="B5:R5"/>
    <mergeCell ref="B6:R6"/>
    <mergeCell ref="B76:P78"/>
    <mergeCell ref="B80:P80"/>
  </mergeCells>
  <pageMargins left="0.45" right="0.2" top="0.75" bottom="0.7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936e22d5-45a7-4cb7-95ab-1aa8c7c88789" value=""/>
  <element uid="c64218ab-b8d1-40b6-a478-cb8be1e10ecc" value=""/>
</sisl>
</file>

<file path=customXml/itemProps1.xml><?xml version="1.0" encoding="utf-8"?>
<ds:datastoreItem xmlns:ds="http://schemas.openxmlformats.org/officeDocument/2006/customXml" ds:itemID="{6F3DAB35-2720-426B-ADF5-AEE9199A115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OKTCO Base Plan Refund</vt:lpstr>
      <vt:lpstr>2017 Refund</vt:lpstr>
      <vt:lpstr>2017 Interest Calculation</vt:lpstr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s177040</dc:creator>
  <cp:lastModifiedBy>s177040</cp:lastModifiedBy>
  <cp:lastPrinted>2019-05-28T15:08:49Z</cp:lastPrinted>
  <dcterms:created xsi:type="dcterms:W3CDTF">2019-05-22T14:00:06Z</dcterms:created>
  <dcterms:modified xsi:type="dcterms:W3CDTF">2019-05-28T15:09:40Z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2b9c2011-3ecf-4987-82b3-e1009e0f4af4</vt:lpwstr>
  </property>
  <property fmtid="{D5CDD505-2E9C-101B-9397-08002B2CF9AE}" pid="3" name="bjDocumentSecurityLabel">
    <vt:lpwstr>Uncategorized</vt:lpwstr>
  </property>
  <property fmtid="{D5CDD505-2E9C-101B-9397-08002B2CF9AE}" pid="4" name="bjSaver">
    <vt:lpwstr>clRxCTTKA7z930TtRLwKph96GxWYXtbn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uid="936e22d5-45a7-4cb7-95ab-1aa8c7c88789"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